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65" windowWidth="14805" windowHeight="7950"/>
  </bookViews>
  <sheets>
    <sheet name="реестр" sheetId="1" r:id="rId1"/>
    <sheet name="СВОД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22" i="1"/>
  <c r="D209" l="1"/>
  <c r="B113"/>
  <c r="B114"/>
  <c r="B692"/>
  <c r="D14" l="1"/>
  <c r="D11" s="1"/>
  <c r="D2" i="2" s="1"/>
  <c r="D228" i="1"/>
  <c r="D234"/>
  <c r="E196"/>
  <c r="C16"/>
  <c r="B39" l="1"/>
  <c r="B37"/>
  <c r="B699"/>
  <c r="B698" s="1"/>
  <c r="D698"/>
  <c r="C698"/>
  <c r="B30"/>
  <c r="B3" i="2" s="1"/>
  <c r="C105" i="1" l="1"/>
  <c r="D105"/>
  <c r="B105"/>
  <c r="B506"/>
  <c r="C232" l="1"/>
  <c r="C231"/>
  <c r="C230"/>
  <c r="C228"/>
  <c r="C227"/>
  <c r="C226"/>
  <c r="C225"/>
  <c r="C224"/>
  <c r="C221"/>
  <c r="C220"/>
  <c r="C219"/>
  <c r="C218"/>
  <c r="C217"/>
  <c r="C216"/>
  <c r="C215"/>
  <c r="C214"/>
  <c r="C213"/>
  <c r="C211"/>
  <c r="C210"/>
  <c r="C209"/>
  <c r="B234"/>
  <c r="B209"/>
  <c r="B48" l="1"/>
  <c r="D680" l="1"/>
  <c r="C680"/>
  <c r="B680"/>
  <c r="B470"/>
  <c r="B473"/>
  <c r="B475"/>
  <c r="B15"/>
  <c r="B14" l="1"/>
  <c r="B11" s="1"/>
  <c r="B2" i="2" s="1"/>
  <c r="C15" i="1"/>
  <c r="C14" s="1"/>
  <c r="C11" s="1"/>
  <c r="C2" i="2" s="1"/>
  <c r="D485" i="1"/>
  <c r="B348" l="1"/>
  <c r="C692" l="1"/>
  <c r="D692"/>
  <c r="C682"/>
  <c r="D682"/>
  <c r="C592"/>
  <c r="C587"/>
  <c r="D587"/>
  <c r="C525"/>
  <c r="D525"/>
  <c r="C442"/>
  <c r="D442"/>
  <c r="C433"/>
  <c r="C285"/>
  <c r="D285"/>
  <c r="D678"/>
  <c r="C678"/>
  <c r="B678"/>
  <c r="D330"/>
  <c r="C676"/>
  <c r="D676"/>
  <c r="B676"/>
  <c r="D83"/>
  <c r="D602"/>
  <c r="C674"/>
  <c r="D674"/>
  <c r="B674"/>
  <c r="D668"/>
  <c r="D661" s="1"/>
  <c r="D120"/>
  <c r="D119"/>
  <c r="D118"/>
  <c r="D117"/>
  <c r="D181"/>
  <c r="D175" s="1"/>
  <c r="D145"/>
  <c r="D116" l="1"/>
  <c r="D259"/>
  <c r="D160"/>
  <c r="D161"/>
  <c r="C348"/>
  <c r="D348"/>
  <c r="C339"/>
  <c r="D159" l="1"/>
  <c r="C158"/>
  <c r="B671"/>
  <c r="C671"/>
  <c r="D671"/>
  <c r="C194"/>
  <c r="C418"/>
  <c r="C385" s="1"/>
  <c r="C384" s="1"/>
  <c r="D418"/>
  <c r="D385" s="1"/>
  <c r="B418"/>
  <c r="D624"/>
  <c r="D479"/>
  <c r="C479"/>
  <c r="B479"/>
  <c r="D658"/>
  <c r="D657" s="1"/>
  <c r="D492"/>
  <c r="D506"/>
  <c r="C506"/>
  <c r="D78"/>
  <c r="D74"/>
  <c r="C331"/>
  <c r="D331"/>
  <c r="B331"/>
  <c r="D440"/>
  <c r="D433" s="1"/>
  <c r="D76"/>
  <c r="C669"/>
  <c r="D669"/>
  <c r="B669"/>
  <c r="C661"/>
  <c r="B661"/>
  <c r="D321"/>
  <c r="D320" s="1"/>
  <c r="D306" s="1"/>
  <c r="C660"/>
  <c r="C659" s="1"/>
  <c r="C619"/>
  <c r="B619"/>
  <c r="D593"/>
  <c r="D592" s="1"/>
  <c r="B593"/>
  <c r="D578"/>
  <c r="D577" s="1"/>
  <c r="D574" s="1"/>
  <c r="C578"/>
  <c r="C577" s="1"/>
  <c r="C574" s="1"/>
  <c r="D383"/>
  <c r="C383"/>
  <c r="D382"/>
  <c r="C382"/>
  <c r="D365"/>
  <c r="C365"/>
  <c r="D361"/>
  <c r="D360" s="1"/>
  <c r="D356"/>
  <c r="C356"/>
  <c r="C315"/>
  <c r="C306" s="1"/>
  <c r="D281"/>
  <c r="D265"/>
  <c r="D264" s="1"/>
  <c r="C265"/>
  <c r="C264" s="1"/>
  <c r="D251"/>
  <c r="D250" s="1"/>
  <c r="D247"/>
  <c r="D246" s="1"/>
  <c r="C247"/>
  <c r="C246" s="1"/>
  <c r="D240"/>
  <c r="B208"/>
  <c r="C191"/>
  <c r="D191"/>
  <c r="B191"/>
  <c r="C175"/>
  <c r="B175"/>
  <c r="D170"/>
  <c r="C170"/>
  <c r="D155"/>
  <c r="D150"/>
  <c r="B150"/>
  <c r="C152"/>
  <c r="C151"/>
  <c r="D146"/>
  <c r="D144"/>
  <c r="C135"/>
  <c r="B682"/>
  <c r="B608" l="1"/>
  <c r="C608"/>
  <c r="D608"/>
  <c r="C450"/>
  <c r="C449" s="1"/>
  <c r="D384"/>
  <c r="D381" s="1"/>
  <c r="D326" s="1"/>
  <c r="D450"/>
  <c r="D449" s="1"/>
  <c r="D208"/>
  <c r="D200" s="1"/>
  <c r="B115"/>
  <c r="C208"/>
  <c r="C200" s="1"/>
  <c r="C381"/>
  <c r="C326" s="1"/>
  <c r="C150"/>
  <c r="C115" s="1"/>
  <c r="D115"/>
  <c r="B592"/>
  <c r="B587"/>
  <c r="B574"/>
  <c r="B525"/>
  <c r="B450"/>
  <c r="B442"/>
  <c r="B433"/>
  <c r="B385"/>
  <c r="B326"/>
  <c r="B306"/>
  <c r="B285"/>
  <c r="B200"/>
  <c r="B92"/>
  <c r="B90"/>
  <c r="B88"/>
  <c r="B86"/>
  <c r="B84"/>
  <c r="B81"/>
  <c r="B79"/>
  <c r="B72"/>
  <c r="B71" s="1"/>
  <c r="B69"/>
  <c r="B67"/>
  <c r="B65"/>
  <c r="B62"/>
  <c r="B57"/>
  <c r="D92"/>
  <c r="C92"/>
  <c r="D90"/>
  <c r="C90"/>
  <c r="D88"/>
  <c r="C88"/>
  <c r="D86"/>
  <c r="C86"/>
  <c r="D84"/>
  <c r="C84"/>
  <c r="D81"/>
  <c r="C81"/>
  <c r="D79"/>
  <c r="C79"/>
  <c r="D72"/>
  <c r="D71" s="1"/>
  <c r="C72"/>
  <c r="D67"/>
  <c r="C67"/>
  <c r="D65"/>
  <c r="C65"/>
  <c r="D62"/>
  <c r="C62"/>
  <c r="D57"/>
  <c r="D43"/>
  <c r="C43"/>
  <c r="D41"/>
  <c r="C41"/>
  <c r="D22"/>
  <c r="D3" i="2" s="1"/>
  <c r="C22" i="1"/>
  <c r="C3" i="2" s="1"/>
  <c r="B41" i="1"/>
  <c r="B43"/>
  <c r="B45"/>
  <c r="B36" l="1"/>
  <c r="C71"/>
  <c r="B4" i="2"/>
  <c r="C114" i="1"/>
  <c r="C113" s="1"/>
  <c r="C6" i="2" s="1"/>
  <c r="D114" i="1"/>
  <c r="D113" s="1"/>
  <c r="D6" i="2" s="1"/>
  <c r="D7" s="1"/>
  <c r="B449" i="1"/>
  <c r="B384"/>
  <c r="D56"/>
  <c r="D55" s="1"/>
  <c r="D5" i="2" s="1"/>
  <c r="C57" i="1"/>
  <c r="C56" s="1"/>
  <c r="B56"/>
  <c r="B55" s="1"/>
  <c r="D36"/>
  <c r="D4" i="2" s="1"/>
  <c r="C36" i="1"/>
  <c r="C4" i="2" s="1"/>
  <c r="B6" l="1"/>
  <c r="B7" s="1"/>
  <c r="B5"/>
  <c r="C55" i="1"/>
  <c r="C5" i="2" s="1"/>
  <c r="C7" s="1"/>
</calcChain>
</file>

<file path=xl/sharedStrings.xml><?xml version="1.0" encoding="utf-8"?>
<sst xmlns="http://schemas.openxmlformats.org/spreadsheetml/2006/main" count="846" uniqueCount="772">
  <si>
    <t>Дело №А04-3531/2016</t>
  </si>
  <si>
    <t>Арбитражный суд Амурской области</t>
  </si>
  <si>
    <t>Конкурсный управляющий - Легалов В.А.</t>
  </si>
  <si>
    <t>Реестр текущей задолженности первой очереди</t>
  </si>
  <si>
    <t>Кредитор</t>
  </si>
  <si>
    <t>ВСЕГО по Обществу</t>
  </si>
  <si>
    <t>Легалов Владимир Александрович</t>
  </si>
  <si>
    <t xml:space="preserve">Вознаграждение конкурсного управляющего </t>
  </si>
  <si>
    <t>Реестр текущей задолженности второй очереди</t>
  </si>
  <si>
    <t>Заработная плата</t>
  </si>
  <si>
    <t>Налог на доходы физических лиц</t>
  </si>
  <si>
    <t>Страховые взносы на обязательное пенсионное страхование</t>
  </si>
  <si>
    <t>Реестр текущей задолженности третьей очереди</t>
  </si>
  <si>
    <t>ООО "ЭФ СИ ДЖИ"</t>
  </si>
  <si>
    <t>Договор возмездного оказания услуг №13122016/96 от 13.12.2016г. (консультационные услуги в отношении проверки финансово-хозяйственной деятельности АО "Буреягэсстрой")</t>
  </si>
  <si>
    <t>ООО "Стерн"</t>
  </si>
  <si>
    <t>Договор займа денежных средств №01/БГС от 06.04.2017г.</t>
  </si>
  <si>
    <t xml:space="preserve">ООО ЧОП СкиФ </t>
  </si>
  <si>
    <t>Договор 03-1/3-55 от 13.03.2017 (Охрана объектов п.Новобурейск УТИМ) до расторжения</t>
  </si>
  <si>
    <t>Договор 03-1/3-56 от 13.03.2017 (Охрана объектов п.Глухари) до расторжения</t>
  </si>
  <si>
    <t>Поставщики АТОМСТРОЙ</t>
  </si>
  <si>
    <t xml:space="preserve"> Горно-химический комбинат ФГУП</t>
  </si>
  <si>
    <t xml:space="preserve">   Договор N 2ВК-2014 от 01.12.13г. (Отпуск и потребление питьевой воды) до 31.12.16</t>
  </si>
  <si>
    <t xml:space="preserve">   Договор N 31Т-2016 от 02.02.16г. (Теплоснабжение в горячей воде) до 31.12.18</t>
  </si>
  <si>
    <t xml:space="preserve">   Договор N 3ВК-2016 от 26.01.16г. (Холодное водоснабжение и водоотведен) до 31.12.18</t>
  </si>
  <si>
    <t xml:space="preserve">   Договор N Т-63-15 от 10.03.15 (Тех.обслужив.приборов учета тепла 22507,32) до исп.</t>
  </si>
  <si>
    <t xml:space="preserve"> Гортеплоэнерго</t>
  </si>
  <si>
    <t xml:space="preserve">   Договор N 2008Т-1115 от 24.12.08г.(Энер. на отпуск и потр.тепл. энерг.) до расторж.</t>
  </si>
  <si>
    <t xml:space="preserve">   Договор N ВК1798/12 от 01.06.12 (Отпуск и потребление пит.воды) до 31.12.16г.</t>
  </si>
  <si>
    <t xml:space="preserve"> Селезенев С.В</t>
  </si>
  <si>
    <t xml:space="preserve">   Договор N ТО 01-2013 от 03.03.13г. (Тех.облуж.узла учет тепловой энергии) до 31.12.16</t>
  </si>
  <si>
    <t>УССТ 9 (ЖЭУ-924)</t>
  </si>
  <si>
    <t>Договор N 23/10 от 28.09.10г. (Усл.по обслуж. тепловых сетей г.Железногорск) до раст.</t>
  </si>
  <si>
    <t>Комбинат благоустройства  (код 5317 )</t>
  </si>
  <si>
    <t>Договор N 117 от 01.01.16г. (Вывоз твердых бытовых отходов) до 31.12.16</t>
  </si>
  <si>
    <t xml:space="preserve"> Поставщики тепловой и эл.энерг и услуги ЖКХ (все объекты кроме Атомстрой)</t>
  </si>
  <si>
    <t xml:space="preserve"> Амурские коммунальные системы</t>
  </si>
  <si>
    <t>Договор N 00010 от 04.02.2005г. (Услуги - поверка водомеров) до 31.12.06г.</t>
  </si>
  <si>
    <t xml:space="preserve">   Договор N 1719 от 29.11.10г.(Теплоснабжение вахтового поселка) до расторж</t>
  </si>
  <si>
    <t xml:space="preserve">   Договор N 1720 от 16.10.09г. (Энергоснаб. тепловой энергией) до расторж.</t>
  </si>
  <si>
    <t xml:space="preserve">   Договор N 248 от 01.04.10г. (Отпуск воды и очистка сточ.вод) до расторж.</t>
  </si>
  <si>
    <t xml:space="preserve">   Договор N 2514 от 01.03.11г. (Прием и очистка ЖБО) до расторж</t>
  </si>
  <si>
    <t xml:space="preserve">   Договор N 879 от 01.03.10г. (Услуги по теплоснабжению) до расторж.</t>
  </si>
  <si>
    <t xml:space="preserve"> Дальнев.генерир.комп.Благовещ.</t>
  </si>
  <si>
    <t xml:space="preserve">   Договор N 7/1/01214/2120 от 01.03.15 (Отпуск тепловой энергии) до расторж.</t>
  </si>
  <si>
    <t xml:space="preserve"> ДЭК (КПП997450001)</t>
  </si>
  <si>
    <t xml:space="preserve">   Договор N БЭООЭ0001866 от 01.07.10г.(Приобретение электрич.энергии)до исп</t>
  </si>
  <si>
    <t xml:space="preserve">   Договор N БЭООЭ0002003 от 25.03.11г.(Энергоснабжение)до расторж.</t>
  </si>
  <si>
    <t xml:space="preserve"> ДЭК Благовещенск (код 4559)</t>
  </si>
  <si>
    <t xml:space="preserve">   Договор N ХХ01Э0000701 от 01.01.2007г. (Услуги энергоснабжения) до расторж.</t>
  </si>
  <si>
    <t xml:space="preserve"> ДЭК Райчихинское отд.(код 4560+ код 4063)</t>
  </si>
  <si>
    <t xml:space="preserve">   Договор N БЭООЭ0001865/03-1/3-276Л от 01.07.10 (Приобрет.электр.энергии) до 01.07.15; Договор N РАООЭ0001702 от 01.01.2007г. (Услуги эл./энергии) до расторж. </t>
  </si>
  <si>
    <t xml:space="preserve"> Районные тепловые сети</t>
  </si>
  <si>
    <t xml:space="preserve">   Договор N 55/2016 от 25.01.16г. (Теплоснабжение ст.Ледяная, с.Глухари) до 31.12.16</t>
  </si>
  <si>
    <t>ООО Красноярская энергетическая компания (код 7556)</t>
  </si>
  <si>
    <t>Договор № 192 от 11.07.11 (теплоснабжение) до 27.01.15</t>
  </si>
  <si>
    <t xml:space="preserve"> Энергетик</t>
  </si>
  <si>
    <t xml:space="preserve">   Договор N 03-2/3-1297 от 03.03.2008г. (Содержание и ремонт д.30Б) до расторж.</t>
  </si>
  <si>
    <t xml:space="preserve">   Договор N 07-0013 от 01.01.2007г. (Ремонт жилых помещений) до 31.12.16</t>
  </si>
  <si>
    <t xml:space="preserve">   Договор N 07-0052 от 01.01.07г. (Коммунальные услуги гражданам) до 31.12.16</t>
  </si>
  <si>
    <t xml:space="preserve">   Договор N 10 от 01.09.06г. (Поставка питьевой воды и прием сточ.вод) до 31.12.16</t>
  </si>
  <si>
    <t xml:space="preserve">   Договор N 11 от 01.09.2006г. (Вывоз твердых бытовых отходов) до 31.12.16</t>
  </si>
  <si>
    <t xml:space="preserve">   Договор N 137-11 от 01.01.11г (Подача,принятие теплов.энерг.в горяч.воде) до 31.12.16</t>
  </si>
  <si>
    <t xml:space="preserve"> Техэксплуатация   (код О010787 )</t>
  </si>
  <si>
    <t xml:space="preserve">   Договор N б/н от 01.11.14 (Услуги по обслужив.квартир) до раст.</t>
  </si>
  <si>
    <t xml:space="preserve"> Управ-Дом (код 4185)</t>
  </si>
  <si>
    <t xml:space="preserve">   Договор б/н от 12.05.08г. (Содержание и обслуживание жилищного фонда) до растр</t>
  </si>
  <si>
    <t xml:space="preserve"> Фонд капитального ремонта   (код О010587 )</t>
  </si>
  <si>
    <t xml:space="preserve">   Счет N РО-11-000225 от 05.11.14г.(Взнос на кап.ремонт)</t>
  </si>
  <si>
    <t xml:space="preserve">Реестр текущей задолженности пятой очереди </t>
  </si>
  <si>
    <t>ВСЕГО по АТОМСТРОЙ</t>
  </si>
  <si>
    <t xml:space="preserve"> Субподрядчики АТОМСТРОЙ</t>
  </si>
  <si>
    <t xml:space="preserve"> Аврора (код 5794)</t>
  </si>
  <si>
    <t xml:space="preserve">   Договор N 01-1-2350 от 27.03.15г. (СМР на объекте "Создание ОДЦ") до исп.</t>
  </si>
  <si>
    <t xml:space="preserve">   Договор N 01-1-2360 от 18.06.15г. (СМР на объекте "Создание ОДЦ") до исп.</t>
  </si>
  <si>
    <t xml:space="preserve"> АльфА СК (код О011358)</t>
  </si>
  <si>
    <t xml:space="preserve">   Договор N 01-1-2399 от 31.03.16г. (Выполнение СМР " по об. Создание ОДЦ") до исп.</t>
  </si>
  <si>
    <r>
      <t xml:space="preserve"> АРМ ТЕХНО (код </t>
    </r>
    <r>
      <rPr>
        <sz val="11"/>
        <rFont val="Times New Roman"/>
        <family val="1"/>
        <charset val="204"/>
      </rPr>
      <t>О011099)</t>
    </r>
  </si>
  <si>
    <t xml:space="preserve">   Договор N 01-1-2380 от 10.12.15г. (СМР "Создание ОДЦ") до исп.</t>
  </si>
  <si>
    <t xml:space="preserve"> ВентСоюз (код О011065)</t>
  </si>
  <si>
    <t xml:space="preserve">   Договор N 01-1-2389 от 19.11.15г. (СМР "Создание ОДЦ") до исп.</t>
  </si>
  <si>
    <t xml:space="preserve"> Восток-Универсал (код 6186)</t>
  </si>
  <si>
    <t xml:space="preserve">   Договор N 01-1-2425 от 16.05.16г. (Выполнение СМР по объекту создание ОДЦ) до исп.</t>
  </si>
  <si>
    <t xml:space="preserve"> ГСПИ (код О011061)</t>
  </si>
  <si>
    <t xml:space="preserve">   Договор N 01-1-2411/2/208742 от 21.12.15г. (СМР "Строительство сухого ХОЯТ") до исп.</t>
  </si>
  <si>
    <t xml:space="preserve"> Капитал Строй (код 0010296)</t>
  </si>
  <si>
    <t xml:space="preserve">   Договор N 01-1-2367 от 22.09.15г. (СМР на объекте "Создание ОДЦ") до исп.</t>
  </si>
  <si>
    <t>ООО "Красноярская дорожно-строительная компания" (О010905)</t>
  </si>
  <si>
    <t xml:space="preserve">   Договор N 01-1-2386 от 31.08.15г. (СМР на объекте "Создание ОДЦ") до исп.</t>
  </si>
  <si>
    <t xml:space="preserve"> Механизация (код О010816)</t>
  </si>
  <si>
    <t xml:space="preserve">   Договор N 1 от 17.06.15г. (Услуги грузоподъемного крана) до 31.12.16</t>
  </si>
  <si>
    <t xml:space="preserve"> МОДУЛЬ СК (код 9745)</t>
  </si>
  <si>
    <t xml:space="preserve">   Договор N 01-1-2397 от 10.11.15г. (СМР "Создание ОДЦ") до исп.</t>
  </si>
  <si>
    <t xml:space="preserve">   Договор N 01-1-2426 от 01.05.16г. (СМР на объекте реконструкция ТРО) до исп.</t>
  </si>
  <si>
    <t xml:space="preserve"> Монолит (код О009795)</t>
  </si>
  <si>
    <t xml:space="preserve">   Договор N 01-1-2379 от 23.09.15г. (СМР "Создание ОДЦ") до исп.</t>
  </si>
  <si>
    <t xml:space="preserve"> МСУ N 75 (код О010608)</t>
  </si>
  <si>
    <t xml:space="preserve">   Договор N 01-1-2362 от 26.06.15г. (СМР на объекте "Реконструкция ТРО") до исп.</t>
  </si>
  <si>
    <t xml:space="preserve"> ПК ДСУ (код 7160)</t>
  </si>
  <si>
    <t xml:space="preserve"> Промоборудование (код О011013)</t>
  </si>
  <si>
    <t xml:space="preserve">   Договор N 01-1-2379 от 15.10.15г. (СМР на объекте "Создание ОДЦ") до исп.</t>
  </si>
  <si>
    <t>АО "ПРОМЭЛЕКТРОМОНТАЖ-СТН" (код О010845)</t>
  </si>
  <si>
    <t xml:space="preserve">   Договор N 01-1-2347 от 26.06.15г. (СМР "Строительство сухого ХОЯТ") до исп.</t>
  </si>
  <si>
    <t xml:space="preserve"> ПРЭХ ГХК (код О010818)</t>
  </si>
  <si>
    <t xml:space="preserve">   Договор N 01-1-2356 от 29.05.15г. (СМР "Строительство сухого ХОЯТ") до исп.</t>
  </si>
  <si>
    <t xml:space="preserve">   Договор N 01-1-2404 от 30.10.15г. (СМР "Создание ОДЦ") до исп.</t>
  </si>
  <si>
    <t xml:space="preserve">   Договор N 01-1-2410 от 01.02.16г. (СМР "Реконструкция полигона ТРО") до исп.</t>
  </si>
  <si>
    <t xml:space="preserve"> Регионстрой Железногорск (код О011312)</t>
  </si>
  <si>
    <t xml:space="preserve">   Договор N 01-1-2405 от 06.05.16г. (Выполнение СМР"Реконструкция полигона ТРО") до исп</t>
  </si>
  <si>
    <t xml:space="preserve">   Договор N 03-1/2-450а от 28.03.16г. (Услуги строит. машинами и механ.) до 31.12.16</t>
  </si>
  <si>
    <t xml:space="preserve">   Договор N 01-1-2427 от 25.07.16г. (Выполнение СМР"Создание ОДЦ) до исп</t>
  </si>
  <si>
    <t xml:space="preserve"> Ремонтно-строит.группа (новый) (код 8255)</t>
  </si>
  <si>
    <t xml:space="preserve"> Сибирская конструкция (новый) (код 9142)</t>
  </si>
  <si>
    <t xml:space="preserve">   Договор N 01-1-2406 от 03.11.15г. (СМР "Строительство сухого ХОЯТ") до исп.</t>
  </si>
  <si>
    <t xml:space="preserve">   Договор N 02-1/2-395а от 29.10.15г. (Поставка металлоконструкций 3млн.р.) до 31.12.16</t>
  </si>
  <si>
    <t xml:space="preserve"> Сибпроммонтаж (код О010843)</t>
  </si>
  <si>
    <t xml:space="preserve">   Договор N 01-1-2414 от 11.01.16г. (СМР "Строительство сухого ХОЯТ") до исп.</t>
  </si>
  <si>
    <t xml:space="preserve"> СМНУ-70 (код 6212)</t>
  </si>
  <si>
    <t xml:space="preserve">   Договор N 01-1-2419 от 04.02.16г. (СМР "Строительство сухого ХОЯТ") до исп.</t>
  </si>
  <si>
    <t xml:space="preserve"> Строительные технологии (код 010936)</t>
  </si>
  <si>
    <t xml:space="preserve">   Договор N 01-1-2392 от 25.09.15г. (СМР "Строительство сухого ХОЯТ") до исп.</t>
  </si>
  <si>
    <t xml:space="preserve"> СТРОЙГРАД Красноярск ( код О0010909)</t>
  </si>
  <si>
    <t xml:space="preserve">   Договор N 01-1-2391 от 01.10.15г. (Выполн.СМР на об."Строит.сухого ХОЯТ") до 12.01.16</t>
  </si>
  <si>
    <t xml:space="preserve">   Договор N 01-1-2401 от 12.10.16г. (Выполн.СМР на об."Строит.сухого ХОЯТ") до исп.</t>
  </si>
  <si>
    <t xml:space="preserve"> Стройкомплекс НПО ПМ (код О010591)</t>
  </si>
  <si>
    <t xml:space="preserve">   Договор N 01-1-2310 от 01.12.14г. (СМР "Реконструкция полигона ТРО") до исп.</t>
  </si>
  <si>
    <t xml:space="preserve">   Договор N 01-1-2364 от 24.06.15г. (СМР "Создание ОДЦ") до исп.</t>
  </si>
  <si>
    <t xml:space="preserve">   Договор N 01-1-2416 от 27.01.16г. (СМР "Строительство сухого ХОЯТ") до исп.</t>
  </si>
  <si>
    <t xml:space="preserve">   Договор N 03-1/2-392а от 10.09.15г.(Услуги строит.машинами и механизмами) до 31.12.16</t>
  </si>
  <si>
    <t xml:space="preserve"> СТРОЙСИБ (код О011214)</t>
  </si>
  <si>
    <t xml:space="preserve">   Договор N 01-1-2415 от 04.02.16г. (СМР на объекте "Создание ОДЦ") до исп.</t>
  </si>
  <si>
    <t xml:space="preserve"> СтройТехМонтаж (новый 8213) (+ Стройтехмонтаж (КА 6246))</t>
  </si>
  <si>
    <t xml:space="preserve">   Договор N 01-1-2325 от 12.01.15г. (СМР "Строительство сухого ХОЯТ") до исп.</t>
  </si>
  <si>
    <t xml:space="preserve">   Договор N 01-1-2381 от 23.09.15г. (СМР "Создание ОДЦ") до исп.</t>
  </si>
  <si>
    <t xml:space="preserve"> Телеком ГХК (код О009401)</t>
  </si>
  <si>
    <t xml:space="preserve">   Договор N 163 от 05.12.12г. (Услуги связи) до расторж.</t>
  </si>
  <si>
    <t xml:space="preserve"> Технологии Безопасности (код 6227)</t>
  </si>
  <si>
    <t xml:space="preserve">   Договор N 01-1-2336 от 26.12.14г. (СМР "Строительство сухого ХОЯТ") до исп.</t>
  </si>
  <si>
    <t xml:space="preserve"> Технострой (код 6162)</t>
  </si>
  <si>
    <t xml:space="preserve">   Договор N 01-1-2338 от 26.12.14г. (СМР "Строительство сухого ХОЯТ") до исп.</t>
  </si>
  <si>
    <t xml:space="preserve"> Уралэнергомонтаж (код О010537)</t>
  </si>
  <si>
    <t xml:space="preserve">   Договор N 01-1-2327/УЭМ-1001-14 от 25.12.14г. (СМР на объекте "Создание ОДЦ") до исп.</t>
  </si>
  <si>
    <t xml:space="preserve">   Договор N 01-1-2396/УЭМ-1030-15 от 29.10.15 (СМР "Строительство сухого ХОЯТ") до исп.</t>
  </si>
  <si>
    <t xml:space="preserve"> Элерон (код 010786)</t>
  </si>
  <si>
    <t xml:space="preserve">   Договор N 01-1-2337 от 29.05.15г. (СМР "Строительство сухого ХОЯТ") до исп.</t>
  </si>
  <si>
    <t>отгрузка и оплата по счетам (без договора 76,5 сч)</t>
  </si>
  <si>
    <t xml:space="preserve"> Бетон (код 6761)</t>
  </si>
  <si>
    <t xml:space="preserve">   Договор N 02-1/2-272а от 05.12.13г. (Поставка продукции 6 млн.руб.) до 31.12.16г.</t>
  </si>
  <si>
    <t xml:space="preserve"> Водолей-Сибирь (код О009412)</t>
  </si>
  <si>
    <t xml:space="preserve">   Договор N КР 02-1/2-354а от 05.12.14г.(Поставка сантех.изделий-4 млн.р.)</t>
  </si>
  <si>
    <t xml:space="preserve"> Гран (код 6810)</t>
  </si>
  <si>
    <t xml:space="preserve">   Договор N 02-1/2-438а от 01.01.16г. (Поставка запчастей) до 31.12.17г.</t>
  </si>
  <si>
    <t xml:space="preserve">   Договор N 31/12-14 от 31.12.14г. (Поставка зап.частей) до 30.12.15</t>
  </si>
  <si>
    <t xml:space="preserve"> Горно-химический комбинат (код 4851)</t>
  </si>
  <si>
    <t xml:space="preserve">   Без договора (служебный; для платежей без указания договора)</t>
  </si>
  <si>
    <t xml:space="preserve">   Договор N 01-03-16/243 от 30.03.16г. (Поставка металлопроката) до 30.03.17</t>
  </si>
  <si>
    <t xml:space="preserve">   Договор N 01-03-16/297 от 25.04.16г. (Поставка продукции- ГСМ талоны) до исполн.</t>
  </si>
  <si>
    <t xml:space="preserve">   Договор N 01-03-16/298 от 25.04.16г. (Поставка продукции) до исполн.</t>
  </si>
  <si>
    <t xml:space="preserve">   Договор N 01-03-16/339 от 25.04.16г. (Поставка продукции- масел техн.) до исполн.</t>
  </si>
  <si>
    <t xml:space="preserve">   Договор N 01-03-16/350 от 26.04.16г. (Поставка продукции- металлопроката) до исполн.</t>
  </si>
  <si>
    <t xml:space="preserve">   Договор N 01-03-16/351 от 26.04.16г. (Поставка продукции- металлопроката) до исполн.</t>
  </si>
  <si>
    <t xml:space="preserve">   Договор N 01-03-16/352 от 27.04.16г. (Поставка продукции 10492313,73 р) до 31.12.16</t>
  </si>
  <si>
    <t xml:space="preserve">   Договор N 01-03-16/375 от 28.04.16г. (Поставка продукции лист нержав.) до исполн.</t>
  </si>
  <si>
    <t xml:space="preserve">   Договор N 01-03-16/385 от 29.04.16г. (Поставка продукции 990 950,54 руб.) до 31.12.16</t>
  </si>
  <si>
    <t xml:space="preserve">   Договор N 01-03-16/389 от 29.04.16г. (Поставка продукции 12570075,00 р.) до 31.12.16</t>
  </si>
  <si>
    <t xml:space="preserve">   Договор N 01-03-16/513 от 15.06.2016г. (Поставка диз.топлива) до 31.12.16</t>
  </si>
  <si>
    <t xml:space="preserve">   Договор N 01-03-16/674 от 01.07.16г. (Поставка продукции 19857488,00 р.) до исп.</t>
  </si>
  <si>
    <t xml:space="preserve">   Договор N 01-03-16/685 от 30.06.16г. (Поставка продукции 251857,04 р.) до исп.</t>
  </si>
  <si>
    <t xml:space="preserve">   Договор N 01-03-16/686 от 01.07.16г. (Поставка продукции 1837378,00 р.) до исп.</t>
  </si>
  <si>
    <t xml:space="preserve">   Договор N 01-03-16/687 от 04.07.16г. (Поставка продукции 19 944 861,85 р.) до исполн.</t>
  </si>
  <si>
    <t xml:space="preserve">   Договор N 01-03-16/708 от 01.07.16г. (Поставка продукции 1125720,00 р.) до исп.</t>
  </si>
  <si>
    <t xml:space="preserve">   Договор N 01-03-16/766 от 01.08.16г. (Поставка песка, щебня) до 31.12.16</t>
  </si>
  <si>
    <t xml:space="preserve">   Договор N 01-03-16/779 от 08.08.16г. (Поставка электродов) до 31.12.16</t>
  </si>
  <si>
    <t>Договор N 01-03-16/795 от 23.08.16г. (Поставка цемента) до 23.08.17</t>
  </si>
  <si>
    <t xml:space="preserve">   Договор N 01-03-16/809 от 08.08.16г. (Поставка минплиты, отводов) до 31.12.16</t>
  </si>
  <si>
    <t xml:space="preserve">   Договор N 01-49-15/1271 от 29.12.15г. (Возмещение хозяйственных затрат) до исп.</t>
  </si>
  <si>
    <t xml:space="preserve">   Договор N 32-355 от 18.02.16г.(Услуги по сливу, наливу, хран.диз.топлива) до 31.12.16</t>
  </si>
  <si>
    <t xml:space="preserve">   Договор N 33-15/1108 от 06.11.15г. (Проведение тех.осмотра транспорта) до исп.</t>
  </si>
  <si>
    <t>Договор № 01-03-16/959 от 29.09.16 (Поставка электродов) до исп.</t>
  </si>
  <si>
    <t>Договор № 01-03-16/821 от 25.08.16 (Поставка кислорода) до 31.12.16</t>
  </si>
  <si>
    <t>ООО "ГосСпецТрак" (код О011216)</t>
  </si>
  <si>
    <t>Договор N ОЗЧ0916009 от 29.09.16г. (Поставка зап.частей) до 31.12.16г.</t>
  </si>
  <si>
    <t xml:space="preserve"> Завод Знамя труда (код О010817)</t>
  </si>
  <si>
    <t xml:space="preserve">   Договор N ЗТ-30-3/031/10/15 от 01.06.15г. (Поставка запорной арматуры) до 31.12.16</t>
  </si>
  <si>
    <t xml:space="preserve"> Краскристалл (код О011412)</t>
  </si>
  <si>
    <t xml:space="preserve">   Договор N 02-1/2-446а от 16.02.16г. (Поставка продукции 940595,71 руб.) до 31.12.16</t>
  </si>
  <si>
    <t xml:space="preserve"> Красноярскнефтепродукт (код 9610)</t>
  </si>
  <si>
    <t xml:space="preserve">   Договор N 02-1/2-420а-292/3 от 27.12.15г. (Поставка нефтепродуктов) до 31.12.16</t>
  </si>
  <si>
    <t xml:space="preserve"> Красэнергокомплекс (код О009440)</t>
  </si>
  <si>
    <t xml:space="preserve">   Договор N 02-1/2-432а от 11.01.16 (Поставка электротехнической продукции) до 31.12.17</t>
  </si>
  <si>
    <t xml:space="preserve">   Договор N 02-1/2-124 от 23.03.16г. (Поставка цемента) + % за пользование чужими ДС и оплата госпошлины по Определению по делу № А04-10841/2016 от 13.01.2017г  - 1515243,58</t>
  </si>
  <si>
    <t xml:space="preserve"> Металлоконструкции (код 9335)</t>
  </si>
  <si>
    <t xml:space="preserve">   Договор N 02-1/2-396а от 29.10.15г. (Поставка металлоизделий 3000000,00) до 31.12.16</t>
  </si>
  <si>
    <t xml:space="preserve"> Торговый дом Песчанка (код 6775)</t>
  </si>
  <si>
    <t xml:space="preserve">   Договор N 02-1/2-359а от 01.01.15г. (Поставка ПГС, щебня) до 31.12.15г.</t>
  </si>
  <si>
    <t xml:space="preserve"> Полипласт-Сибирь (код 9499)</t>
  </si>
  <si>
    <t xml:space="preserve">   Договор N 17/1215 от 13.04.16г. (Поставка добавки полипласт) до 31.12.16</t>
  </si>
  <si>
    <t xml:space="preserve"> Реактор (код О011111)</t>
  </si>
  <si>
    <t xml:space="preserve">   Договор N 02-1/2-529 от 28.12.15г. (Поставка материалов) до 31.12.16</t>
  </si>
  <si>
    <t xml:space="preserve"> СибАрмаПром (код О010935)</t>
  </si>
  <si>
    <t xml:space="preserve">   Договор N 02-1/2-387а от 12.08.15г. (Поставка арматуры) до 31.12.16</t>
  </si>
  <si>
    <t xml:space="preserve"> Сибинструмент (9458)</t>
  </si>
  <si>
    <t xml:space="preserve"> Сибтеплокомплект (код О010215)</t>
  </si>
  <si>
    <t xml:space="preserve">   Договор N 02-1/2-408а от 01.01.16г. (Поставка изоляционных материалов) до 31.12.16</t>
  </si>
  <si>
    <t xml:space="preserve"> СпецЭлектродСервис (код 6144)</t>
  </si>
  <si>
    <t xml:space="preserve">   Договор N 02-1/2-444а от 11.01.16г. (Поставка электродов) до 31.12.17</t>
  </si>
  <si>
    <t xml:space="preserve"> УКБХ (только по договорам СУ "АТОМСТРОЙ")-(код 0774)</t>
  </si>
  <si>
    <t xml:space="preserve">   Договор N 2050 от 01.01.15г. (Поставка бетона Атомстрой) до 31.12.16</t>
  </si>
  <si>
    <t xml:space="preserve">   Договор N 2897 от 10.05.16г. (Аренда транспортных средств) до 31.12.16</t>
  </si>
  <si>
    <t xml:space="preserve"> Уралгазсервис (код О010704)</t>
  </si>
  <si>
    <t xml:space="preserve">   Договор N 02-1/2-411а от 01.01.16г. (Поставка промышленных газов) до 31.12.16</t>
  </si>
  <si>
    <t xml:space="preserve"> Фомина С.Б. ИП (код О010639 )</t>
  </si>
  <si>
    <t xml:space="preserve">   Договор N 03/2015 от 28.01.15г. (Поставка зап/частей 1 200 000р.) до 31.12.15</t>
  </si>
  <si>
    <t>Форавто ООО  (код 9132 )</t>
  </si>
  <si>
    <t>Договор N 02-1/2-289а от 01.01.14г. (Поставка зап.частей 1500000,00) до 31.12.15г.</t>
  </si>
  <si>
    <t xml:space="preserve"> ХИЛТИ ДИСТРИБЬЮШН ЛТД  (код 1417 )</t>
  </si>
  <si>
    <t xml:space="preserve">   Договор N 02-1/2-750 от 25.05.11г. (Поставка инструментов) до 31.12.16г.</t>
  </si>
  <si>
    <t xml:space="preserve"> Химпром ПК (код О 011096)</t>
  </si>
  <si>
    <t xml:space="preserve">   Договор N 02-1/2-407а от 01.12.15г. (Поставка химической продукции) до 31.12.16</t>
  </si>
  <si>
    <t xml:space="preserve"> Цуканова Т.Г.  (код 5346 )</t>
  </si>
  <si>
    <t xml:space="preserve">   Договор N 02-1/2-406а от 01.01.16г. (Поставка материалов) до 31.12.16</t>
  </si>
  <si>
    <t xml:space="preserve"> Электропартнер (код 5700)</t>
  </si>
  <si>
    <t xml:space="preserve">   Договор N 02-1/2-435а от 11.01.16 (Поставка электротехнической продукции) до 31.12.17</t>
  </si>
  <si>
    <t xml:space="preserve"> Энергомашкомплект (код О011078)</t>
  </si>
  <si>
    <t xml:space="preserve">   Договор N 02-1/2-442 от 23.11.15г. (Поставка запорной арматуры) до 31.12.16</t>
  </si>
  <si>
    <t xml:space="preserve"> ЭнергоСтройХолдинг  (код 9725 )</t>
  </si>
  <si>
    <t xml:space="preserve">   Договор N 02-1/2-437а от 11.01.16г. (Поставка оборудования) до 31.12.17</t>
  </si>
  <si>
    <t>Транспортные услуги и обслуживание транспорта Атомстрой</t>
  </si>
  <si>
    <t xml:space="preserve"> АВТОСПЕЦТРАНС (код 5844)</t>
  </si>
  <si>
    <t xml:space="preserve">   Договор N 150924/А01 от 24.09.15г. (Услуги автостоянки для автомобилей) до 30.04.16</t>
  </si>
  <si>
    <t xml:space="preserve">   Договор N 151214/ТО1 от 14.12.15г. (Автотранспортные услуги) до 31.12.16</t>
  </si>
  <si>
    <t>Договор N 151214/ТО2 от 14.12.15г. (Услуги машинами и механизмами) до 31.12.16</t>
  </si>
  <si>
    <t>АвтоСтатус24  (код  О010961)</t>
  </si>
  <si>
    <t>Договор N 41/09/15 от 16.09.15г. (Поставка запчастей) до 31.12.16</t>
  </si>
  <si>
    <t xml:space="preserve"> АВТОТЕХЦЕНТР ЮЖНЫЙ  (код О0000089)</t>
  </si>
  <si>
    <t xml:space="preserve">   Договор N 03-1/3-445а от 11.02.16г. (Мойка и ремонт легковых автомобилей) до 31.12.17</t>
  </si>
  <si>
    <t xml:space="preserve"> Гранит  (код О011463 )</t>
  </si>
  <si>
    <t xml:space="preserve">   Договор N 10/16 от 22.03.16г. (Оказание автотрансп.услуг) до 31.12.16</t>
  </si>
  <si>
    <t xml:space="preserve"> Жилейкин А.С.  (код 5737 )</t>
  </si>
  <si>
    <t xml:space="preserve">   Договор N 03-1/2-218а от 28.12.12г. (Перевозка рабочих в г.Железногорск) до 31.12.15</t>
  </si>
  <si>
    <t xml:space="preserve">   Договор N 03-1/2-430а от 23.12.15г. (Перевозка рабочих в г.Железногорск) до 31.12.16</t>
  </si>
  <si>
    <t>ООО "Региональное снабжение"  (код О011551 )</t>
  </si>
  <si>
    <t xml:space="preserve">Договор N 03-2/3-461А от 08.09.16г. (Услуги по перевозке грузов) до исп. </t>
  </si>
  <si>
    <t xml:space="preserve"> Ремавто ( код 7065)</t>
  </si>
  <si>
    <t xml:space="preserve">   Договор N 20160101 РЗ от 01.01.16г. (Ремонт и технич.обслужив.ТС) до расторж</t>
  </si>
  <si>
    <t xml:space="preserve"> Управление ж/д транспорта (ООО УЖТ) (код О009405)</t>
  </si>
  <si>
    <t xml:space="preserve">   Договор N 62-15/95 от 10.12.15г. (Перевозка грузов) до исп.</t>
  </si>
  <si>
    <t xml:space="preserve">   Договор N 62-16/57 от 05.08.16г. (Займ 1,5 млн. 10,48%) до 20.09.16</t>
  </si>
  <si>
    <t>Управленческие расходы Атомстрой</t>
  </si>
  <si>
    <t xml:space="preserve"> Всероссийскре добровольное пожарное общество Железногорск (код О011173)</t>
  </si>
  <si>
    <t xml:space="preserve">   Договор N 2 от 11.02.16г. (Зарядка и тех.обслуживание огнетушителей) до 31.12.16</t>
  </si>
  <si>
    <t xml:space="preserve"> Вымпел-С  (код О009458 )</t>
  </si>
  <si>
    <t xml:space="preserve">   Договор N 03-2/3-416а от 09.12.15г. (Охранные услуги) до 31.12.16</t>
  </si>
  <si>
    <t xml:space="preserve"> Городское ЖКУ  (код 5134 )</t>
  </si>
  <si>
    <t xml:space="preserve">   Договор N 4501 от 07.09.12г.(Содержание жил.помещ.и предост.комм.услуг) до исп.</t>
  </si>
  <si>
    <t xml:space="preserve"> Диамант  (код 5219)</t>
  </si>
  <si>
    <t xml:space="preserve">   Договор N 02-1/2-451а от 06.04.16г. (Поставка полиграфической продукции) до 31.12.17</t>
  </si>
  <si>
    <t xml:space="preserve"> Комбинат питания (код 5235)</t>
  </si>
  <si>
    <t xml:space="preserve">   Договор N 01/15 от 23.12.14г. (Услуги питания) до 31.12.16</t>
  </si>
  <si>
    <t>Почтамт Железногорский (код 5612)</t>
  </si>
  <si>
    <t>Договор N ж/22 от 27.01.16г. (Услуги почтовой связи) до 31.12.16</t>
  </si>
  <si>
    <t>Договор N ж/4 от 27.01.16г. (Услуги "ВОХ-сервис") до 31.12.16</t>
  </si>
  <si>
    <t xml:space="preserve"> Правовая информатика (О010664)</t>
  </si>
  <si>
    <t xml:space="preserve">   Договор N 5803J от 01.01.16г. (Информационные услуги КонсультантПлюс) до 31.12.16</t>
  </si>
  <si>
    <t xml:space="preserve"> Ростелеком (Белогорск)  (код 3423 )</t>
  </si>
  <si>
    <t xml:space="preserve">   Договор N 3/64 от 30.01.2006г. (Услуги телефонной связи) на неопред срок</t>
  </si>
  <si>
    <t xml:space="preserve"> Элма  (код 9861 )</t>
  </si>
  <si>
    <t xml:space="preserve">   Договор N 02-1/2-436а от 11.01.16г. (Поставка бытовой химии, канцелярии) до 31.12.17</t>
  </si>
  <si>
    <t xml:space="preserve"> Субподрядчики занятые на нескольких объектах или объектах Амурской области и Заказчики (кроме Атомстрой) </t>
  </si>
  <si>
    <t>Амурспецстрой  (код О011218 )</t>
  </si>
  <si>
    <t>Договор N 01-1-74 от 20.02.16г. (СМР "Газоперерабатывающий завод") до исп.</t>
  </si>
  <si>
    <t>Арена (код О011552)</t>
  </si>
  <si>
    <t xml:space="preserve"> Благсантехмонтаж  (код 000134 )</t>
  </si>
  <si>
    <t xml:space="preserve">   Договор N 01-1-455 от 04.12.15г. (СМР на объекте "Космодром Восточный") до исп.</t>
  </si>
  <si>
    <t xml:space="preserve">   Договор N 01-1-6729 от 24.02.15г. (СМР на объекте "Космодром Восточный") до исп.</t>
  </si>
  <si>
    <t>БоАЗ (Закрытое акционерное общество "Богучанский алюминиевый завод") (код О011505)</t>
  </si>
  <si>
    <t>Договор N 508С001Р982 от 14.09.16г. (Поставка бетона, раствора) до исп.</t>
  </si>
  <si>
    <t>Договор N БоАЗ-Д-16-750 от 17.08.16г. (Аренда имущества) до раст.</t>
  </si>
  <si>
    <t xml:space="preserve"> Буреяжилпромстрой (код 2143)</t>
  </si>
  <si>
    <t>Договор N 62/2016 от 18.10.16г. (Аренда нежилого помещения) до 28.02.17г.</t>
  </si>
  <si>
    <t>ИП Грязнов Владимир Николаевич (ко О011728)</t>
  </si>
  <si>
    <t>Договор N 2 от 02.11.16г.(Уступки права требования ООО "Дизайнстройсервис")до исп</t>
  </si>
  <si>
    <t>Дальспецстрой при Спецстрое  (код О010133 )</t>
  </si>
  <si>
    <t>Договор N 35/50с-13 от 25.12.13г. (СМР на ст.Лед.при строит.ж/д) до исп.</t>
  </si>
  <si>
    <t>Договор N 35/66с-14 от 30.04.14г. (СМР"Метр.база с лабор.Углегорск) до исп.</t>
  </si>
  <si>
    <t>Домостроительный завод ( ОАО "Хабаровский завод промышленного и гражданского домостроения")  (код 4750 )</t>
  </si>
  <si>
    <t>Договор N 01-1-4852 от 17.05.12г. (СМР "МБЖ г.Тында 363 840 000 руб) до 15.09.13г.</t>
  </si>
  <si>
    <t xml:space="preserve"> Калининэнергострой ( код 0940)</t>
  </si>
  <si>
    <t xml:space="preserve">   Договор N 01-1-293 от 31.07.15г. (СМР "Газоперерабатывающий завод") до исп.</t>
  </si>
  <si>
    <t xml:space="preserve">   Договор N 03-1/3-471 от 19.01.14г. (Предоставл. мест в вахт.поселках) до 31.12.16</t>
  </si>
  <si>
    <t>Договор N 03-2/2-121 от 12.01.15 (Оказание услуг автотрансп.средств) до 31.12.15</t>
  </si>
  <si>
    <t>Договор N 04-2/3-6422 от 10.04.14г. (Аренда автотранспорта) до 31.12.16г.</t>
  </si>
  <si>
    <t xml:space="preserve">   Договор N К02-2015 от 11.04.16г. (Аренда транспортных средств) до 31.12.16г.</t>
  </si>
  <si>
    <t xml:space="preserve">   Договор N К07-2016 от 18.03.16г. (Аренда бетонного насоса) до 31.12.16</t>
  </si>
  <si>
    <t>Коротков Владимир Вячеславович (уступка Пенетрон-Строй) (код О011580)</t>
  </si>
  <si>
    <t>Уведомление об уступке прав треб. б/н от 14.10.16г. (с Пенетрон-Строй)</t>
  </si>
  <si>
    <t xml:space="preserve"> Лифтмонтаж  (код 3509 )</t>
  </si>
  <si>
    <t xml:space="preserve">   Договор N 01-1-438 от 02.11.15г. (СМР на объекте "Космодром Восточный") до исп.</t>
  </si>
  <si>
    <t xml:space="preserve"> Мосстроймодернизация (код О010862)</t>
  </si>
  <si>
    <t xml:space="preserve">   Договор N 01-1-289 от 31.07.15г. (СМР "Газоперерабатывающий завод") до исп.</t>
  </si>
  <si>
    <t>исп</t>
  </si>
  <si>
    <t xml:space="preserve"> ПТПС (Подводтрубопроводстрой) (код О011429)</t>
  </si>
  <si>
    <t xml:space="preserve">   Договор N 01-1-202 от 25.04.16г. (Выполнение СМР на об."Газопер.завод.Этап1") до исп.</t>
  </si>
  <si>
    <t xml:space="preserve"> Сибирь-мехатроника (новый) (О011112)</t>
  </si>
  <si>
    <t xml:space="preserve">   Договор N СМ-С38-15 от 17.11.15 (Пуско-наладка технологического контроллера) до исп.</t>
  </si>
  <si>
    <t>ООО "СИБТЕХ"  (код О011565 )</t>
  </si>
  <si>
    <t>Договор N 01-1-419 от 27.09.16г.(СМР на об."Корп.электрол,Циркул.корид.,Траса газох."</t>
  </si>
  <si>
    <t>Договор N 03-2/3-518 от 07.10.16г. (Образовательные услуги) до 07.10.17г.</t>
  </si>
  <si>
    <t>Силовые машины  (код О010376 )</t>
  </si>
  <si>
    <t>Договор N 01-1-6493 от 16.06.14г. (СМР по объекту "Вторая очередь Благ.ТЭЦ") до исп.</t>
  </si>
  <si>
    <t>Строитель ГКУ (код 5341)</t>
  </si>
  <si>
    <t xml:space="preserve">Судебный приказ № А04-10784/2016 от 07.12.2016 г Штрафная санкция за нарушение сроков исполнения обязательств по Контракту N 2 от 28.06.12г. (СМР "Малоэт.быстровоз.жилье,м.Таеж") </t>
  </si>
  <si>
    <t xml:space="preserve"> СтройСервисРемонт  (код 1902)</t>
  </si>
  <si>
    <t xml:space="preserve">Договор N 01-1-2375 от 22.09.15г. (СМР на объекте "Создание ОДЦ") до исп. </t>
  </si>
  <si>
    <t xml:space="preserve">   Договор N 01-1-6410 от 01.12.13г. (СМР "Берегоукр.и реконстр.набереж.р.Амур") до исп.</t>
  </si>
  <si>
    <t>Договор N 2/1-01-10-2016 от 01.10.16 (Покупка ЖБИ) до 31.12.16</t>
  </si>
  <si>
    <t xml:space="preserve">   Договор б/н от 22.12.2015 г. (аренда общежития)  до 31.12.2016 договора нет</t>
  </si>
  <si>
    <t>АО "СтройТрансНефтеГаз"  (код О011374)</t>
  </si>
  <si>
    <t xml:space="preserve">   Договор N 01-1-201 от 25.04.16г. (СМР на об.Газоперераб.завод.Этап1) до исп.</t>
  </si>
  <si>
    <t xml:space="preserve"> УКБХ (без учета договоров по СУ "АТОМСТРОЙ") -(код 0774)</t>
  </si>
  <si>
    <t xml:space="preserve">   Договор N 1203 от 21.03.14г. (Генподряд "Цех по выпуску изд.из газобетона") до исп.</t>
  </si>
  <si>
    <t xml:space="preserve">   Договор N 2710 от 10.05.16г. (Поставка товара) до 31.12.16</t>
  </si>
  <si>
    <t xml:space="preserve"> Поставщики ТМЦиО ВСЕГО:</t>
  </si>
  <si>
    <t xml:space="preserve"> Поставщики материалов и товар. (все объекты кроме Атомстрой)</t>
  </si>
  <si>
    <t xml:space="preserve"> Абрис  (код О011235)</t>
  </si>
  <si>
    <t xml:space="preserve">   Договор N 02-1/2-563 от 25.02.16г. (Поставка ПГС) до 25.12.16</t>
  </si>
  <si>
    <t xml:space="preserve"> АмурРемСтрой  (код О010855)</t>
  </si>
  <si>
    <t xml:space="preserve">   Договор N 02-2/2-540 от 09.11.15г. (Поставка ПГС, щебня) до 09.10.16</t>
  </si>
  <si>
    <t xml:space="preserve"> Вавилон  (код О011237 )</t>
  </si>
  <si>
    <t xml:space="preserve">   Договор N 7 от 25.02.16г. (Поставка материалов) до 31.12.16</t>
  </si>
  <si>
    <t xml:space="preserve"> Велеск-М  (код О011200 )</t>
  </si>
  <si>
    <t xml:space="preserve">   Договор N 1 от 25.01.16г. (Поставка и монтаж ограждений (ж/д вокзал)) до исп.</t>
  </si>
  <si>
    <t xml:space="preserve">   Договор N 2 от 25.01.16г. (Поставка и монтаж ограждений (СБЗ вокзала)) Ледяная</t>
  </si>
  <si>
    <t xml:space="preserve"> Дальспецстрой УПП 723 (код О010276)</t>
  </si>
  <si>
    <t xml:space="preserve">   Договор N 42/14 от 22.04.14г. (Поставка бетона 131048685,44) до 31.12.15</t>
  </si>
  <si>
    <t xml:space="preserve"> Кеннель   (код О010752 )</t>
  </si>
  <si>
    <t xml:space="preserve">   Договор N 11/16 от 04.02.16г. (Поставка угля) до 04.12.16</t>
  </si>
  <si>
    <t xml:space="preserve">   Договор N 68/16 от 23.06.16г. (Купля-продажа цемента) до 23.06.17г.</t>
  </si>
  <si>
    <t xml:space="preserve"> Кислород   (код 7163 )</t>
  </si>
  <si>
    <t xml:space="preserve">   Договор N 43 от 15.02.16г. (Поставка кислорода) до 31.12.16</t>
  </si>
  <si>
    <t xml:space="preserve">   Договор N 59х-01-2-222 от 02.08.10г. (Ремонт кислородных баллонов) до 31.07.10г.</t>
  </si>
  <si>
    <t xml:space="preserve"> Комплект Снаб   (код 6983 )</t>
  </si>
  <si>
    <t xml:space="preserve">   Гарантийные письма (по гарантиям)</t>
  </si>
  <si>
    <t xml:space="preserve">   Договор N 02-1/2-6746 от 01.01.15г. (Поставка МТРиО 35000000,00) до 30.06.16г.</t>
  </si>
  <si>
    <t>ООО "КСМУ"   (код О011504 )</t>
  </si>
  <si>
    <t>Договор N К29 от 26.08.16г. (Поставка инертных материалов для СУ Богучанстрой) до 31.12.17</t>
  </si>
  <si>
    <t xml:space="preserve"> Мурина Е.В.   (код 9488)</t>
  </si>
  <si>
    <t xml:space="preserve">   Договор N 4 от 02.06.16г. (Поставка МТР) до 31.12.16г.</t>
  </si>
  <si>
    <t>ООО "Оптторгсервис"  (код О011170 )</t>
  </si>
  <si>
    <t>Договор N 02-2/2-60 от 05.02.16г. (Продажа металлолома) до 31.12.16</t>
  </si>
  <si>
    <t>Прометалл  (код О011555 )</t>
  </si>
  <si>
    <t>Договор N 02-2/2-46 от 13.02.17г. (Продажа материалов) до 31.12.17г.</t>
  </si>
  <si>
    <t>АО "ПромСпецСтройГрупп"  (код О011295 )</t>
  </si>
  <si>
    <t>Договор N 2-2/2-572Э от 11.04.16г. (Поставка товара 2 млн.руб.) до 31.12.16</t>
  </si>
  <si>
    <t xml:space="preserve"> Финби (по опер данным, не по 1СБух) (коды 4345-старый  и  О010822 новый)</t>
  </si>
  <si>
    <t xml:space="preserve">   Договор N 140214Б/Л от 14.02.14г. (Лизинг кранов башенных) до исп</t>
  </si>
  <si>
    <t xml:space="preserve">   Договор N 210314Б/Л от 21.03.14г.(Лизинг тягача сед.УРАЛ ) до исполн.</t>
  </si>
  <si>
    <t>Договор N 240114Б/Л от 27.01.14г.(Лизинг автомобиля Тайота LC) до исп.</t>
  </si>
  <si>
    <t xml:space="preserve">   Договор N 250114Б/Л от 27.01.14г. (Лизинг автомобилей УАЗ) до исполн.</t>
  </si>
  <si>
    <t xml:space="preserve">   Договор N 260114Б/Л от 27.01.14г. (Лизинг автомобиля Камаз) до исп</t>
  </si>
  <si>
    <t xml:space="preserve">   Договор N 270114Б/Л от 27.01.14г.(Лизинг полуприцепов) до исп.</t>
  </si>
  <si>
    <t xml:space="preserve">   Договор N 300114Б/Л от 31.01.14г.(Лизинг тягачей седельных) до исп.</t>
  </si>
  <si>
    <t>АО Асфальт (код 0384)</t>
  </si>
  <si>
    <t>Договор № 02-2/2-65 от 27.04.2017 (продажа МТР) до 31.12.17</t>
  </si>
  <si>
    <t>ОАО Готопсбыт (код 6036)</t>
  </si>
  <si>
    <t>Договор № 02-2/2-68 от 03.05.2017 (Продажа МТР 2 000 000,0 до 31.07.17)</t>
  </si>
  <si>
    <t xml:space="preserve"> Юйсинь (код 6005)</t>
  </si>
  <si>
    <t xml:space="preserve">   Договор N НLHH130-2013-В361 от 20.01.13г.(Поставка издел.из гранита) до 31.12.2015г</t>
  </si>
  <si>
    <t xml:space="preserve">   Контракт N НLHH130-2014-В391 от 10.01.14г.(Поставка издел.из гранита) до 31.12.2015г</t>
  </si>
  <si>
    <t xml:space="preserve"> Поставщики запчастей, автошин и пр. (все объекты кроме Атомстрой)</t>
  </si>
  <si>
    <t xml:space="preserve"> АмурТехТрейд (код О010099)</t>
  </si>
  <si>
    <t xml:space="preserve">   Договор N 02-1/2-6261 от 29.11.13г.(Пост.автошин,автомасел 2000000,00)до 31.12.15г</t>
  </si>
  <si>
    <t>Кат-Ком  (код О009797 )</t>
  </si>
  <si>
    <t>Договор N 2 от 11.04.13г.( Поставка запасных частей)до расторж.</t>
  </si>
  <si>
    <t xml:space="preserve"> Мегатэк  (код )</t>
  </si>
  <si>
    <t xml:space="preserve">   Договор N 02-1/2-6263 от 02.12.13г. (Поставка зап.частей 10 млн.) до 31.12.15г.</t>
  </si>
  <si>
    <t>ООО "МЭЗ Амурский" (код О011437)</t>
  </si>
  <si>
    <t>Договор N 02-2/1-342 от 28.06.16г. (Продажа крана 4 021 285,00 руб.) до 31.12.16</t>
  </si>
  <si>
    <t xml:space="preserve"> Поставщики топлива (все объекты кроме Атомстрой)</t>
  </si>
  <si>
    <t xml:space="preserve"> Амурнефтепродукт кпп 280150001   (код 6766 )</t>
  </si>
  <si>
    <t xml:space="preserve">   Договор N 381 П/1 от 09.12.13г. (Поставка нефтепрод. по пластик.картам) до 31.12.15</t>
  </si>
  <si>
    <t>ООО Импульс (код9468)</t>
  </si>
  <si>
    <t>Договор № 09/11 от 31.12.11г. (Поставка нефтепродуктов) до 31.12.13г.</t>
  </si>
  <si>
    <t xml:space="preserve"> РН-Карт   (код  О011224)</t>
  </si>
  <si>
    <t xml:space="preserve">   Договор N 15830613/0075Д от 13.12.13г. (Поставка нефтепродуктов) до 31.12.16г.</t>
  </si>
  <si>
    <t xml:space="preserve"> Поставщики услуг (все объекты кроме Атомстрой) ВСЕГО:</t>
  </si>
  <si>
    <t>арендные платежи, обслуживание вахтовых поселков</t>
  </si>
  <si>
    <t xml:space="preserve"> Бабенко Н.П. (код О011027)</t>
  </si>
  <si>
    <t xml:space="preserve">   Договор N 04-1/1-439 от 27.11.15г. (Аренда жилого помещения г.Свободный) до 28.10.16</t>
  </si>
  <si>
    <t xml:space="preserve"> Баженова Н.А.   (код О011130)</t>
  </si>
  <si>
    <t xml:space="preserve">   Договор N 04-1/1-2 от 14.01.16г. (Аренда жилого помещения г.Свободный) до 28.06.16г.</t>
  </si>
  <si>
    <t xml:space="preserve"> Бурея-Кран (Бурейский) (код )</t>
  </si>
  <si>
    <t xml:space="preserve">   Договор N 04/79 от 01.11.15г. (Аренда нежилого помещения п.Новобурейский) до 30.09.16</t>
  </si>
  <si>
    <t xml:space="preserve"> Ветлугина Н.В.   (код О011274 )</t>
  </si>
  <si>
    <t xml:space="preserve">   Договор N 04-1/1-100 от 18.01.16г. (Аренда жилого помещения с.Глухари) до 31.07.16</t>
  </si>
  <si>
    <t>ООО "ДВ Транссервис"   (код О011266)</t>
  </si>
  <si>
    <t>Договор N 03-1/3-81 от 09.02.16г. (Услуги по хранению имущества) до 31.12.17г.</t>
  </si>
  <si>
    <t xml:space="preserve"> Жил-Комфорт новый (код 8174 + код 6860)</t>
  </si>
  <si>
    <t xml:space="preserve">   Договор N Б/Н от 01.08.12г.(Содерж.и тех.обслуж.дома,ул.Амурская,208)до  расторж.</t>
  </si>
  <si>
    <t xml:space="preserve"> Комитет по управ.имущ.Благовещ (6388)</t>
  </si>
  <si>
    <t xml:space="preserve">   Договор N 19 от 21.08.09г. (Аренда земельного участка ) до 30.05.33г.</t>
  </si>
  <si>
    <t xml:space="preserve">   Договор N 194 от 04.05.06г.(Аренда зем.участка Пограничная 138) до 29.03.31</t>
  </si>
  <si>
    <t xml:space="preserve">   Договор N 77 от 21.07.10г. (Аренда зем.участка р-н "Астрахановка") на неопр. срок</t>
  </si>
  <si>
    <t xml:space="preserve">   Договор N 8153 от 18.09.03г. (Аренда земельного  участка) до 18.09.28г.( леж.09г.)</t>
  </si>
  <si>
    <t xml:space="preserve"> Комитет по управл.имущ.Бурейск  (код 1339 )</t>
  </si>
  <si>
    <t xml:space="preserve">   Договор N 12 от 26.10.2005г. (Аренда земельн. участ. база ОРС, магазины) до расторж.</t>
  </si>
  <si>
    <t xml:space="preserve">   Договор N 192  от 24.11.2005г. (Аренда зем.участок на перевалбазе) до расторж.</t>
  </si>
  <si>
    <t xml:space="preserve">   Договор N 20 от 01.01.05г. (Аренда зем. уч. получ.- Департамент Админ.) до расторж.</t>
  </si>
  <si>
    <t xml:space="preserve">   Договор N 243 от 22.06.15г. (Аренда земельного участка) до 01.04.2025г.</t>
  </si>
  <si>
    <t xml:space="preserve">   Договор N 27  от 01.01.2005г. (Аренда зем.участок на перевалбазе) до расторж.</t>
  </si>
  <si>
    <t xml:space="preserve">   Договор N 27  от 21.04.2006г. (Аренда зем.участок п.Талакан) до расторж.</t>
  </si>
  <si>
    <t xml:space="preserve">   Договор N 28 от 01.01.2005г. (Аренда получ.- Департамент Администр.) до расторж.</t>
  </si>
  <si>
    <t xml:space="preserve">   Договор N 51 от 25.09.2006г. (Аренда пром. земли п.Талакан) до расторж.</t>
  </si>
  <si>
    <t xml:space="preserve"> Комитет по управл.имущ. Райчих (код 3621)</t>
  </si>
  <si>
    <t xml:space="preserve">   Договор N 53м от 19.04.10г. (Аренда земельного участка) до расторж.</t>
  </si>
  <si>
    <t xml:space="preserve"> Континент (код 2723)</t>
  </si>
  <si>
    <t xml:space="preserve">   Договор N 01/02-2016-07/16 от 01.02.16г. (Аренда нежилого помещения) до 31.12.16г.</t>
  </si>
  <si>
    <t xml:space="preserve">   Договор N 01/09-2016-02/16 от 01.08.15г. (Аренда нежилых помещений) до 31.01.16</t>
  </si>
  <si>
    <t xml:space="preserve">   Договор АГД-01/0716-АД от 01.07.16 (Агентский договор) до 31.12.16</t>
  </si>
  <si>
    <t xml:space="preserve">   Договор N 01/09-П от 01.01.09г. (Предост. прав польз. номерами) до расторж.</t>
  </si>
  <si>
    <t>Договор N 0108/2016 от 01.08.16г. (Займ 12% годовых) до 17.10.16г.</t>
  </si>
  <si>
    <t xml:space="preserve"> Михайлюк Е.В.   (код О010962 )</t>
  </si>
  <si>
    <t xml:space="preserve">   Договор N 36 от 01.10.15г. (Услуги по стирке белья) до 30.06.16</t>
  </si>
  <si>
    <t xml:space="preserve"> МУЖЭП ЗАТО Углегорск   (код О010804)</t>
  </si>
  <si>
    <t xml:space="preserve">   Договор N 4/2 от 19.05.15г. (Услуги по размещению ТБО) до раст.</t>
  </si>
  <si>
    <t xml:space="preserve"> Мурза В.В. ИП   (код О010308 )</t>
  </si>
  <si>
    <t xml:space="preserve">   Договор N б/н от 01.07.14г. (Аренда нежилого помещения г.Свободный) до 30.09.16</t>
  </si>
  <si>
    <t xml:space="preserve"> Отдел по управл.имущ.Свободный (код КА О010309)</t>
  </si>
  <si>
    <t xml:space="preserve">   Договор N 10 от 01.08.14г. (Аренда нежилых помещений) до 30.06.16</t>
  </si>
  <si>
    <t xml:space="preserve">   Договор N 11 от 01.08.14г. (Аренда здания котельной) до 30.06.16</t>
  </si>
  <si>
    <t xml:space="preserve">   Договор N 9 от 01.08.14г. (Аренда нежилых помещений) до 30.06.16</t>
  </si>
  <si>
    <t xml:space="preserve"> ПАТО   (код 8406)</t>
  </si>
  <si>
    <t xml:space="preserve">   Договор N 04-1/1-706 от 25.05.11г.(Аренда нежил.помещ.,ул.Театральная 226)неопред.ср.</t>
  </si>
  <si>
    <t xml:space="preserve">   Договор N 04-1/2-6397 от 28.03.14г. (Аренда оборудования) до 31.12.16г.</t>
  </si>
  <si>
    <t xml:space="preserve"> ПЕРИ (код О010405)</t>
  </si>
  <si>
    <t xml:space="preserve">   Договор N 1663-А от 25.08.14г.(Аренда элемент.опалубки )до исп.</t>
  </si>
  <si>
    <t xml:space="preserve"> Плакса В.М   (код О010087 )</t>
  </si>
  <si>
    <t xml:space="preserve">   Договор б/н от 17.09.15г. (Услуги питания работников СУ Восточное) до 30.06.16</t>
  </si>
  <si>
    <t xml:space="preserve"> Полигон   (код  О010206)</t>
  </si>
  <si>
    <t xml:space="preserve">   Договор N 4/1 Т от 10.03.15г. (Утилизация ТБО) до 31.12.16</t>
  </si>
  <si>
    <t>ООО "Регион 28"   (код  7975)</t>
  </si>
  <si>
    <t>Договор N 10/10-2016-17 от 10.10.16г. (Аренда нежилых помещений) до 30.04.17г.</t>
  </si>
  <si>
    <t>ООО "Смак 2"   (код О011548)</t>
  </si>
  <si>
    <t>Договор N 03-1/3-411 от 26.08.16г. (Услуги питания) до 31.12.16г.</t>
  </si>
  <si>
    <t xml:space="preserve"> Чеченина Е.Е.   (код О010685 )</t>
  </si>
  <si>
    <t xml:space="preserve">   Договор N 04-1/1-99 от 10.03.15г. (Аренда жилого помещения) до 30.09.16</t>
  </si>
  <si>
    <t>Дунаева Юлия Владимировна (О011549)</t>
  </si>
  <si>
    <t>Договор № 04-1/1 -459 от 22.07.16 (аренда жилого помещения ) до 31.05.2017</t>
  </si>
  <si>
    <t>Уркина Оксана Юрьевна (код О011708)</t>
  </si>
  <si>
    <t>Договор № 04-1/4-1 от 09.12.16 (аренда земельного участка) до 09.06.17</t>
  </si>
  <si>
    <t xml:space="preserve"> Шилова О.М.   (код О010379 )</t>
  </si>
  <si>
    <t xml:space="preserve">   Договор N 04-1/1-6546 от 28.07.14г. (Аренда жилого помещения) до 30.09.16г.</t>
  </si>
  <si>
    <t>Связь, программные продукты, оргтехника</t>
  </si>
  <si>
    <t xml:space="preserve"> Апанасенко Н.В. ИП   (код 5184 )</t>
  </si>
  <si>
    <t xml:space="preserve">   Договор N 51/VIP от 01.10.08г. (Поставка экз. Консульт. Плюс) до 31.12.15г.</t>
  </si>
  <si>
    <t>ЕМС Гарантпост (код 1267)</t>
  </si>
  <si>
    <t>Договор N 229534 от 01.09.2006г. (Услуги экспресс-почты) до расторж.</t>
  </si>
  <si>
    <t xml:space="preserve"> Кодекс (новый) (код 9303)</t>
  </si>
  <si>
    <t xml:space="preserve">   Договор N 126 от 10.09.15г.(Абонемент на информац.обслуж. на год 270555) до 30.09.16</t>
  </si>
  <si>
    <t xml:space="preserve"> Консультант-Аудит (код О009998)</t>
  </si>
  <si>
    <t xml:space="preserve">   Договор N 15/22 от 19.10.15г. (Услуги по проведению аудита) до 31.03.16</t>
  </si>
  <si>
    <t xml:space="preserve"> Курьер Сервис Экспресс Благ-ск   (код О010620 )</t>
  </si>
  <si>
    <t xml:space="preserve">   Договор N 28-75 от 29.12.14г.(Услуги по экспресс-доставке почты) до расторж.</t>
  </si>
  <si>
    <t xml:space="preserve"> МегаФон Хабаровск  (код 6073 )</t>
  </si>
  <si>
    <t xml:space="preserve">   Договор N 03-1/3-1925/843133 от 07.06.08г(Услуги подвиж.радиот.сот.связи) до раст</t>
  </si>
  <si>
    <t xml:space="preserve">   Договор N 03-1/3-5932 от 11.02.13г.(Услуги связи )до раст.</t>
  </si>
  <si>
    <t xml:space="preserve"> Мобильные ТелеСист.(Краснояр.)  (код  5290 )</t>
  </si>
  <si>
    <t xml:space="preserve">   Договор N 03-0809-0186 от 27.10.08г. (Услуги сети подвижн. радиотел. связи) до раст.</t>
  </si>
  <si>
    <t xml:space="preserve"> Новый регистратор   (код 4144 )</t>
  </si>
  <si>
    <t xml:space="preserve">   Договор N 77-0243/07 от 29.01.2007г. (Хранение реестра владельц.цен.бумаг) до расторж</t>
  </si>
  <si>
    <t xml:space="preserve">   Договор N С77-0243/14 от 27.10.14г.(Подготовка и проведение об.собр. ) до расторж.</t>
  </si>
  <si>
    <t xml:space="preserve"> Одеон (код 9370)</t>
  </si>
  <si>
    <t xml:space="preserve">   Договор N 138/13 от 28.05.13г. (Изготовление полиграф.продукции) до исп.</t>
  </si>
  <si>
    <t>ПРОФФ-ИНФОРМ  (код 4496 )</t>
  </si>
  <si>
    <t>Договор N 082 от 15.01.07г. (Консульт.усл. по пр."Инфо-Бухгалтер) до 15.01.08г.</t>
  </si>
  <si>
    <t xml:space="preserve"> Ростелеком (Амурский филиал) (код 8228)</t>
  </si>
  <si>
    <t xml:space="preserve">   Договор N 03-1/3-848 от 30.06.05г. (Услуги интернет л/с 728000025408) до расторж.</t>
  </si>
  <si>
    <t xml:space="preserve">   Договор N 17-И от 25.07.08г. (Услуги интернет л/сч 728000030462) до рассторж.</t>
  </si>
  <si>
    <t xml:space="preserve">   Договор N 19634 от 01.01.2006г. (Услуги связи л/сч 728000003741) на неопред. Срок</t>
  </si>
  <si>
    <t xml:space="preserve">   Договор N 20717 от 24.02.10г. (Услуги интернет л/сч 728000039500) до исп.</t>
  </si>
  <si>
    <t xml:space="preserve">   Договор N 3/64 от 30.01.2006г. (Услуги связи л/сч 728000037881) на неопред срок</t>
  </si>
  <si>
    <t xml:space="preserve">   Договор N 745252 от 22.03.12г. ( Услуги телефонной связи л/сч 74525241656) до расторж</t>
  </si>
  <si>
    <t xml:space="preserve">   Договор N VPN-11 от 26.05.10г. (Услуги связи л/сч 728000030047) до расторж.</t>
  </si>
  <si>
    <t xml:space="preserve"> Ростелеком (в лице Сибирьтел.) (код 3583)</t>
  </si>
  <si>
    <t xml:space="preserve">   Договор N 970566/РТот 01.09.08г. (Услуги междуг. и междун.телеф.связи) на неопр.срок</t>
  </si>
  <si>
    <t>Сервер-Центр  (код О009396 )</t>
  </si>
  <si>
    <t>Договор N 1145072 от 25.08.14г.(Изготовление электрон.цифровых подписей)до 25.08.15г.</t>
  </si>
  <si>
    <t>СЕРТЕКС АМУР  (код О010127 )</t>
  </si>
  <si>
    <t>Договор N 02-1/2-352 от 11.07.16г. (Поставка продукции) до 31.12.16</t>
  </si>
  <si>
    <t xml:space="preserve">Договор N 02-1/2-6289 от 18.12.13г.(Поставка МТР 1000000,00)до 31.12.15г. </t>
  </si>
  <si>
    <t xml:space="preserve"> Системы Мониторинга  (код 7407 )</t>
  </si>
  <si>
    <t xml:space="preserve">   Договор N 0149-ТО/2013 от 01.01.13(Тех.под.и ремонт оборуд.спутн.монитор) до расторж.</t>
  </si>
  <si>
    <t xml:space="preserve"> Теледайн Системс лимитед  (код 7186)</t>
  </si>
  <si>
    <t xml:space="preserve">   Договор N 10533Ц от 01.07.16г. (Услуги связи) до 24.10.16</t>
  </si>
  <si>
    <t xml:space="preserve">   Договор N 7660 от 08.06.10г. (Предоставл.услуг телеф.связи и интернета) до расторж.</t>
  </si>
  <si>
    <t>ЗАО ГлобалТел (в лице ООО Клондайк-Связь-с) (код 4163)</t>
  </si>
  <si>
    <t>Договор №51/132G от 12.08.2004 (услуги спутниковой связи) до расторжения</t>
  </si>
  <si>
    <t>Фартов  (код 2149 )</t>
  </si>
  <si>
    <t>Договор N 362905 от 03.03.10г. (Тех.обслуживание контрольно-кассовых машин) до исп.</t>
  </si>
  <si>
    <t xml:space="preserve"> ФАУ ФЦЦС   (код  5279)</t>
  </si>
  <si>
    <t xml:space="preserve">   Договор N 1438/24 от 04.03.16г. (Информационные услуги) до исп.</t>
  </si>
  <si>
    <t>Транспортные услуги, обслуживание транспорта</t>
  </si>
  <si>
    <t xml:space="preserve"> Амурский технический центр   (код 1279 )</t>
  </si>
  <si>
    <t xml:space="preserve">   Договор N 236 от 20.11.15г. (Экспертное обследование кранов 100315р.) до исп.</t>
  </si>
  <si>
    <t xml:space="preserve"> Аэропорт Благовещенск (код 1602)</t>
  </si>
  <si>
    <t xml:space="preserve">   Договор N 01-10 от 01.07.10г. (Предоставление жд тупика) до раст.</t>
  </si>
  <si>
    <t xml:space="preserve"> Бизнес-Партнер   (код О011201 )</t>
  </si>
  <si>
    <t xml:space="preserve">   Договор N 12/02 от 26.02.16г. (Услуги автокрана) до 31.12.16</t>
  </si>
  <si>
    <t>ЗАО "Богучангэсстрой"   (код 4125)</t>
  </si>
  <si>
    <t>Договор N 04-2/3-721 от 01.11.2007г. (Арен. трансп. ср. MERSED.BENS 500) до 31.12.10г</t>
  </si>
  <si>
    <t xml:space="preserve"> Деловые Линии  (код О009567 )</t>
  </si>
  <si>
    <t xml:space="preserve">   Договор N Бщ22/С000000004/16 от 12.02.16 (Услуги транспортной экспедиции) до 31.12.16</t>
  </si>
  <si>
    <t xml:space="preserve"> Русский катализатор   (код 4147 )</t>
  </si>
  <si>
    <t xml:space="preserve">   Договор N 2 от 01.03.2007г. (Услуги автотранспорта) до исполн.</t>
  </si>
  <si>
    <t>Охранные услуги</t>
  </si>
  <si>
    <t xml:space="preserve"> Вымпел-Восток-2 (новый) (код 8130)</t>
  </si>
  <si>
    <t xml:space="preserve">   Договор N 03/16 от 01.01.16г. (Охрана объектов п.Новобурейский-УКК) до 01.07.16</t>
  </si>
  <si>
    <t xml:space="preserve"> Вымпел-Каскад (код О010111)</t>
  </si>
  <si>
    <t xml:space="preserve">   Договор N 01/16 от 01.01.16г. (Охрана объектов Благовещенск, п.Талакан) до 31.12.16</t>
  </si>
  <si>
    <t>Услуги ООО</t>
  </si>
  <si>
    <t xml:space="preserve"> Амурснабресурс   (код )</t>
  </si>
  <si>
    <t xml:space="preserve">   Договор N 1 от 02.11.15г. (Услуги по приему, экспедиции грузов) до 02.11.16</t>
  </si>
  <si>
    <t xml:space="preserve"> БК ЖБИ   (код О011094 )</t>
  </si>
  <si>
    <t>Договор N 01/04/16-1 от 01.04.16г. (Аренда транспорта и механизмов) до 31.03.17</t>
  </si>
  <si>
    <t xml:space="preserve">Договор N 02-2/1-171 от 11.01.16г. (Продажа паровых котлов) до 31.12.16 </t>
  </si>
  <si>
    <t xml:space="preserve">   Договор N 02-2/2-596Э от 01.07.16г. (Продажа продукции 10 млн.руб.) до 30.06.17г.</t>
  </si>
  <si>
    <t xml:space="preserve">   Договор N 04-1/1-36 от 11.01.16г. (Аренда недвижимого имущества) до 11.12.16</t>
  </si>
  <si>
    <t xml:space="preserve"> УПП ООО   (код О010939 )</t>
  </si>
  <si>
    <t xml:space="preserve">   Договор N 1 от 01.09.15г. (Оказание услуг) до 31.12.16</t>
  </si>
  <si>
    <t xml:space="preserve"> УЮТ (код О010867)</t>
  </si>
  <si>
    <t xml:space="preserve">   Договор N 03-1/3-314 от 01.09.15г. (Услуги по обслуживанию зданий) до 31.12.16</t>
  </si>
  <si>
    <t xml:space="preserve">   Договор N 03-1/3-440 от 05.08.15г. (Услуги по проживанию (ГПЗ)) до 31.12.16</t>
  </si>
  <si>
    <t xml:space="preserve"> ЦСЛ Инжинир. Компания (код О010858)</t>
  </si>
  <si>
    <t>Прочие</t>
  </si>
  <si>
    <t xml:space="preserve"> Амурский государ.университет   (код 8411)</t>
  </si>
  <si>
    <t xml:space="preserve">   Договор N 03-1/3-87 от 24.02.16г. (Организация спортивных мероприятий) до 30.06.16</t>
  </si>
  <si>
    <t>БИНБАНК Владивосток   (код О011182 )</t>
  </si>
  <si>
    <t>Договор N 21-LKQP3V от 26.03.16г. (Перечисление заработной платы) неопр.срок</t>
  </si>
  <si>
    <t xml:space="preserve"> БТИ-СТОЛ ЗАКАЗОВ   (код 7338 )</t>
  </si>
  <si>
    <t xml:space="preserve">   Договор N 03-1/3-5047 от 28.05.12г.(Инвентариз.и пасп-я объектов имущест.)до расторж.</t>
  </si>
  <si>
    <t xml:space="preserve"> ИРЦ   (код О010431 )</t>
  </si>
  <si>
    <t xml:space="preserve">   Договор N 03-1/3-6581 от 01.08.14г.(Услуги по сбору платеж.г.Сковородино)до 31.12.16г</t>
  </si>
  <si>
    <t xml:space="preserve"> КОНСУЛ   (код 9773)</t>
  </si>
  <si>
    <t xml:space="preserve">   Договор N 10-2016 от 01.01.16г. (Обезвреживание отходов производства) до 31.12.16</t>
  </si>
  <si>
    <t>Кузнецов Геннадий Николаевич (код 3642)</t>
  </si>
  <si>
    <t>Договор N 303 от 25.05.16г. (Договор займа 40 млн.р. 8,25%) до 25.05.17</t>
  </si>
  <si>
    <t>Договор б/н от 31.05.16 (займ беспроцентный 5,3 млн.р.) до 31.05.17</t>
  </si>
  <si>
    <t>Филиал ПАО "Росгосстрах" в Амурской области (код КАО011123)</t>
  </si>
  <si>
    <t>Договор N 07-9 от 13.01.15г. (Добровольное и обязательное страхование ТС) до 31.12.16</t>
  </si>
  <si>
    <t>Ростехинвентаризация-Федер.БТИ (код О011634)</t>
  </si>
  <si>
    <t>Договор N 2805/1611/00680 от 21.11.16г. (Изготовл.схемы земельн. участка) до исполн</t>
  </si>
  <si>
    <t>СРО НП "СОЮЗАТОМСТРОЙ"   (код 7103 )</t>
  </si>
  <si>
    <t>Приказ N 181 от 04.04.2016г.</t>
  </si>
  <si>
    <t>Союз строителей   (код 6181 )</t>
  </si>
  <si>
    <t>Приказ N 900 от 30.12.15г.</t>
  </si>
  <si>
    <t xml:space="preserve"> Стэнс   (код 8184)</t>
  </si>
  <si>
    <t xml:space="preserve">   Договор N 104-ТОф от 01.05.13г. (Тех.обсл.печатающего оборуд.) до расторж.</t>
  </si>
  <si>
    <t xml:space="preserve"> Толстякова Л.С. ИП (код 000127)</t>
  </si>
  <si>
    <t xml:space="preserve">   Договор N 03-1/3-6153 от 09.09.13г. (Ремонт и поверка сред.изм) до 31.12.15г.</t>
  </si>
  <si>
    <t>НДС</t>
  </si>
  <si>
    <t>Налог на имущество</t>
  </si>
  <si>
    <t>Транспортный налог</t>
  </si>
  <si>
    <t>Водный налог</t>
  </si>
  <si>
    <t>Земельный налог</t>
  </si>
  <si>
    <t>Плата за загрязнение окружающей среды</t>
  </si>
  <si>
    <t>Взносы на страховую часть трудовой пенсии</t>
  </si>
  <si>
    <t>Страховая пенсия</t>
  </si>
  <si>
    <t>Накопительная пенсия</t>
  </si>
  <si>
    <t>Взносы по дополнительному тарифу ч.1 ст.58.3.</t>
  </si>
  <si>
    <t>Взносы по дополнительному тарифу ч.2 ст 58.3.</t>
  </si>
  <si>
    <t>Взносы ФФОМС</t>
  </si>
  <si>
    <t>Взносы на обязательное социальное страхование на случай временной нетрудоспособности и в связи с материнством</t>
  </si>
  <si>
    <t>Взносы на обязательное социальное страхование от несчастных случаев на производстве и профессиональных заболеваний</t>
  </si>
  <si>
    <t xml:space="preserve"> Центр обеспеч. пожарной безоп.   (код 4005 )</t>
  </si>
  <si>
    <t xml:space="preserve">   Договор N 6 от 30.12.15г. (Обслуживание объекта потенциальной опасности) до 31.12.16</t>
  </si>
  <si>
    <t>НП "Центр энергоаудита"   (код 8108 )</t>
  </si>
  <si>
    <t>Приказ N 897 от 30.12.15г.(Об оплате взносов)</t>
  </si>
  <si>
    <t>ИП Богданов Евгений Дмитриевич (код 6619)</t>
  </si>
  <si>
    <t>дело А04-4023 по ОО Стройсервис</t>
  </si>
  <si>
    <t>Наговицина Наталья Александровна</t>
  </si>
  <si>
    <t>Договор № 04-1/1-526 до 01.10.16 (Аренда жил. Помещ. П. Таежный) до 31.08.17</t>
  </si>
  <si>
    <t>ФГУП Госпорпорация по ОрВД (код О010019)</t>
  </si>
  <si>
    <t>Договор №01-1-344 от 06.07.16 (Изменения крепления пожарной лестницы КДП) до 10.08.16</t>
  </si>
  <si>
    <t>ОАО Центр развития экономики (код 6740)</t>
  </si>
  <si>
    <t>Договор №1396-5 от 24.10.12 (услуги по участию в Базах данных и Торгах) до исп.</t>
  </si>
  <si>
    <t>ООО Статус (код О011789)</t>
  </si>
  <si>
    <t>Продажа запасных частей 41160) до исполнения</t>
  </si>
  <si>
    <t>ООО Амурская буровая компания (код О011777)</t>
  </si>
  <si>
    <t>Договор № 02-2/2-82 от 06.06.17 (Продажа МТР) до 31.12.17</t>
  </si>
  <si>
    <t>Амурский филиал ФГУП ГУ СДА при Спецстрое России (код О009926)</t>
  </si>
  <si>
    <t>Договор № 03-2/3-122 от 02.03.15 (обучение и аттестация работников) до 31.12.15</t>
  </si>
  <si>
    <t>ООО Пегас (код 011796)</t>
  </si>
  <si>
    <t>Договор № 02-2/2-98 от 28.06.2017 (Продажа металлолома)</t>
  </si>
  <si>
    <t>НП "ЭНЕРГОСТРОЙ"  (код 6783 )</t>
  </si>
  <si>
    <t>Приказ N 899 от 30.12.15г. (Об оплате членских взносов)</t>
  </si>
  <si>
    <t xml:space="preserve">Текущая задолженность по требованиям кредиторов </t>
  </si>
  <si>
    <t>Текущие требования по решениям судов</t>
  </si>
  <si>
    <t xml:space="preserve">Примечания </t>
  </si>
  <si>
    <t>-</t>
  </si>
  <si>
    <t>Требование об уплате текущих №212-01-25-04/е 5740 от 02.11.2016</t>
  </si>
  <si>
    <t>Дело № А04-1379/2017 от 10 апреля 2017 года</t>
  </si>
  <si>
    <t>Реестр текущей задолженности четвертой очереди</t>
  </si>
  <si>
    <t>ПФР до 01.01.2017г.</t>
  </si>
  <si>
    <t>Дата возбуждения дела - 14.04.2016</t>
  </si>
  <si>
    <t>Требование исх. №75 от 27.10.2016</t>
  </si>
  <si>
    <t>Решение по делу № А33-24607/2016 от 13 января 2017 года, № А33-1545/2017 от 28 апреля 2017 года</t>
  </si>
  <si>
    <t>Требование о оплате текущих исх. №68-32/0014 от 10.01.2017</t>
  </si>
  <si>
    <t>Судебные расходы</t>
  </si>
  <si>
    <t>Требование о оплате текущих исх. №68-32/0014 от 10.01.2017, решения по делу№А33-15621/2016, №А33-16522/2016</t>
  </si>
  <si>
    <t>Дело № А33-19867/2016, решение от 27 октября 2016 года</t>
  </si>
  <si>
    <t>Заявление об учете текущей задолженности Исх. №4 от 01.02.2017г.</t>
  </si>
  <si>
    <t>Государственная пошлина по делу № А33-19700/2016</t>
  </si>
  <si>
    <t>Решение по делу № А33-19700/2016 от 01 ноября 2016 года</t>
  </si>
  <si>
    <t>Требование (исх. СК/5-516 от 26.04.2017), Определение 03 апреля 2017 года по делу № А04-3531/2016</t>
  </si>
  <si>
    <t xml:space="preserve">   Договор N 01-1-2320 от 01.12.14г. (СМР "Реконструкция полигона ТРО") до исп., государственная пошлина</t>
  </si>
  <si>
    <t>Государственная пошлина по делу №А33-24710/2015</t>
  </si>
  <si>
    <t xml:space="preserve">Дело № А33-19652/2016, Решение от 02 декабря 2016 года
</t>
  </si>
  <si>
    <t>Решение по делу №А04-10841/2016 от 13.01.2017г.</t>
  </si>
  <si>
    <t>Дело № А33-23716/2016, Решение от 15 февраля 2017 года</t>
  </si>
  <si>
    <t>Требование кредитора, дело №А04-227/2017</t>
  </si>
  <si>
    <t>Дело № А04-11014/2016, Решение от 14 февраля 2017 года</t>
  </si>
  <si>
    <t>Требование об уплате текущих исх. №56-01-02/205 от 16.11.2016</t>
  </si>
  <si>
    <t>Дело №А33-22342/2014, заявление кредитора</t>
  </si>
  <si>
    <t xml:space="preserve">Дело № А04-176/2017 от 08 февраля 2017 года
</t>
  </si>
  <si>
    <t>Решение по делу№А45-22022/2016 от 20 декабря 2016 года</t>
  </si>
  <si>
    <t>Решение по делу №А04-4392/2016 от 14 октября 2016 года</t>
  </si>
  <si>
    <t>Требование от 29.12.2016г.</t>
  </si>
  <si>
    <t>Требование по уплате задолженности от 30.03.2017г №87/463, Решение по делу А04-11585/2016</t>
  </si>
  <si>
    <t>за период с 01.06.2016 по 30.09.2016, Решение от 28 апреля 2017 года, Дело № А04-369/2017</t>
  </si>
  <si>
    <t>Требование (вх. №906 от 05.04.2017г.)</t>
  </si>
  <si>
    <t>Ассоциация "СРО Архитекторов и проектировщиков дальнего Востока"</t>
  </si>
  <si>
    <t xml:space="preserve">ПАО СК "Росгосстрах" </t>
  </si>
  <si>
    <t>Взносы по ОСАГО</t>
  </si>
  <si>
    <t>Претензия от 05.05.2017</t>
  </si>
  <si>
    <t>Агентский договор 10/10-2016-18 от 10.10.16г.</t>
  </si>
  <si>
    <t>Дело № А04-4159/2017, Решение от 21 июля 2017 года, услуги за период с 01.06.2016 по
31.10.2016</t>
  </si>
  <si>
    <t>Государственная пошлина по делу №А04-6873/2017</t>
  </si>
  <si>
    <t>Решение от 03.08.2017г.</t>
  </si>
  <si>
    <t xml:space="preserve">Претензия Исх. 09-20/1862 от 27.04.2017, Решение от 27 июля 2017 года, Дело № А04-5528/2017
</t>
  </si>
  <si>
    <t>Государственная пошлина по делу №А04-5528/2017</t>
  </si>
  <si>
    <t>Решение от 27 июля 2017 года</t>
  </si>
  <si>
    <t>Решение от 13 июля 2017 года по делу № А04-5941/2017</t>
  </si>
  <si>
    <t>Государственная пошлина по делу №А04-5941/2017</t>
  </si>
  <si>
    <t>Решение от 13 июля 2017 года</t>
  </si>
  <si>
    <t>Государственная пошлина по делу №А04-2850/2017</t>
  </si>
  <si>
    <t>Решение от 09 июня 2017 года</t>
  </si>
  <si>
    <t>Решение от 31 мая 2017 года по делу № А04-2553/2017</t>
  </si>
  <si>
    <t xml:space="preserve">Решение от 31 мая 2017 года </t>
  </si>
  <si>
    <t>Государственная пошлина по делу №А04-2553/2017</t>
  </si>
  <si>
    <t>Государственная пошлина по делу №А04-1548/2017</t>
  </si>
  <si>
    <t>Решение от 02 мая 2017 года</t>
  </si>
  <si>
    <t xml:space="preserve">Судебный приказ от 01.06.2017 по делу №А04-4534/2017 </t>
  </si>
  <si>
    <t>Дело №А04-1110/2017</t>
  </si>
  <si>
    <t>Государственная пошлина по делу №А04-4976/2017</t>
  </si>
  <si>
    <t>Решение от 27 июля 2017 года по делу №А04-4976/2017</t>
  </si>
  <si>
    <t>Решение от 03 августа 2017 года по делу № А04-6873/2017, Решение от 02 мая 2017 года года по делу №А04-1548/2017, Решение от 04 августа 2017 года по делу №А04-5065/2017</t>
  </si>
  <si>
    <t>Решение от 03 августа 2017 года по делу № А04-6873/2017, Решение от 09 июня 2017 года по делу №А04-2850/2017, Решение от 04 августа 2017 года по делу №А04-5065/2017</t>
  </si>
  <si>
    <t>Решение от 04.08.2017г.</t>
  </si>
  <si>
    <t>Государственная пошлина по делу №А04-5065/2017</t>
  </si>
  <si>
    <t>за период с 01.04.2016 по 14.12.2016, Решение от 03 июля 2017 года по делу №А04-3802/2017</t>
  </si>
  <si>
    <t>Государственная пошлина</t>
  </si>
  <si>
    <t>Государственные пошлины в доход бюджета</t>
  </si>
  <si>
    <t>Дело № А04-3802/2017, решение от 03 июля 2017 года</t>
  </si>
  <si>
    <t>Членские взносы, госпошлина</t>
  </si>
  <si>
    <t>Заявление №044 от 22.12.16, Решение от 23 июня 2017 года по делу № А73-6756/2017</t>
  </si>
  <si>
    <t xml:space="preserve"> Договор аренды № 01/05-2016-03/15 от 01.05.2016 года, госпошлина по делу А40 – 82500/2017-28-798</t>
  </si>
  <si>
    <t>Решение от 23.06.2017 г по делу №А40 – 82500/2017-28-798</t>
  </si>
  <si>
    <t>Договор N 2805/1611/00085 от 15.02.2016г.</t>
  </si>
  <si>
    <t>Требование исх. 06-73 от 27.01.2017, определение об отказе во включении в реестр от 26.06.2017г.</t>
  </si>
  <si>
    <t>Решение от 27 июня 2017 года по делу А33-14002/2017</t>
  </si>
  <si>
    <t>Государственная пошлина по делу №А33-14002/2017</t>
  </si>
  <si>
    <t>Решение от 27 июня 2017 года</t>
  </si>
  <si>
    <t>Требование от 03.07.2017г.</t>
  </si>
  <si>
    <t>Дело № А04-369/2017, решение от 28 апреля 2017 года</t>
  </si>
  <si>
    <t>Дело № А33-6886/2017, решение от 05 июля 2017 года</t>
  </si>
  <si>
    <t>Решение от 28 июля 2017 года по делу А33-14005/2017</t>
  </si>
  <si>
    <t>Решение от 28 июля 2017 года</t>
  </si>
  <si>
    <t>Государственная пошлина по делу №А33-14005/2017</t>
  </si>
  <si>
    <t>Претензия от 16.10.2016г.</t>
  </si>
  <si>
    <t>Договор подряда №508С001С613 от 09.09.2016г, неустойка по договору</t>
  </si>
  <si>
    <t>Определение от 04.04.2017г. Об отказе во включении в реестр требований, Требование от 28.07.2017г.</t>
  </si>
  <si>
    <t>требование о погашении от 14.08.2017г.</t>
  </si>
  <si>
    <t>Договор N К14-2015 от 01.01.15 (Оказание услуг автотрансп.средств) до 31.12.15</t>
  </si>
  <si>
    <t>Решение от 15 августа 2017 года по делу № А33-25836/2016</t>
  </si>
  <si>
    <t>Государственная пошлина по делу А33-25836/2016</t>
  </si>
  <si>
    <t xml:space="preserve">   Договор N 02-1/2-405а от 01.01.16г. (Поставка инструментов) до 31.12.16, неустойка, ГП</t>
  </si>
  <si>
    <t>Решение от 21 июня 2017 года по делу А04-3353/2017</t>
  </si>
  <si>
    <t xml:space="preserve">   Договор N 01-1-2341 от 29.12.14г. (СМР "Реконструкция полигона ТРО) до исп., неустойка, ГП</t>
  </si>
  <si>
    <t>По решению суда долг,ГП</t>
  </si>
  <si>
    <t>Решение по делу № 25 апреля 2017 года от А33-5373/2017</t>
  </si>
  <si>
    <t xml:space="preserve">   Договор N 01-1-2340 от 26.12.14г. (СМР "Строительство сухого ХОЯТ") до исп., долг, санкции</t>
  </si>
  <si>
    <t>Судебные расходы, ГП</t>
  </si>
  <si>
    <t>Решение от 17 февраля 2017 года по делу А33-24122/2016</t>
  </si>
  <si>
    <t>Постановлением Шестого арбитражного апелляционного суда от 26 декабря 2016 года решение Арбитражного суда Амурской области от 20.09.2016</t>
  </si>
  <si>
    <t xml:space="preserve">   Договор N 03-1/3-285 от 01.09.15г. (Услуги ЦСЛ) до 31.07.16, долг, ГП</t>
  </si>
  <si>
    <t>Решение от 14.02.2017 по делу А04-11139/2016</t>
  </si>
  <si>
    <t>Дело № А04-227/2017, решение от 28 марта 2017 года</t>
  </si>
  <si>
    <t>Неосновательное обогащение, Государственная пошлина по делу №А04-529/2017</t>
  </si>
  <si>
    <t>Решение от 15 мая 2017 года</t>
  </si>
  <si>
    <t>Инспекция государственного строительного надзора Амурской области</t>
  </si>
  <si>
    <t>Штраф</t>
  </si>
  <si>
    <t>Решение от 13 марта 2017 года по делу № А04-780/2017</t>
  </si>
  <si>
    <t>Договор N 01-1-377 от 01.08.16г. (СМР по строительству БоАЗ) до исп, ГП</t>
  </si>
  <si>
    <t>Решение от 06 июля 2017 года по делу №А04-2807/2017</t>
  </si>
  <si>
    <t>Государственная инспекция труда</t>
  </si>
  <si>
    <t>Штрафы</t>
  </si>
  <si>
    <t>Номер очереди текущих платежей</t>
  </si>
  <si>
    <t>Первая</t>
  </si>
  <si>
    <t>Вторая</t>
  </si>
  <si>
    <t>Третья</t>
  </si>
  <si>
    <t>Четвертая</t>
  </si>
  <si>
    <t>Итого</t>
  </si>
  <si>
    <t xml:space="preserve"> КТК Цемент (код О009476), уступка на ООО "КСР"</t>
  </si>
  <si>
    <t>Уведомление об уступке права требования на ООО "КСР" исх. от 07.08.2017г.</t>
  </si>
  <si>
    <t>Требование об уплате текущих №212-01-25-04/г 3786 от 11.08.2017</t>
  </si>
  <si>
    <t>Шманай Виктор Иванович</t>
  </si>
  <si>
    <t>Расходы арбитражного управляющего в деле о банкротстве</t>
  </si>
  <si>
    <t>УФСБ России по Красноярскому краю</t>
  </si>
  <si>
    <t>Постановление о назначении административного наказания 19/16-17 от 27.02.2017 (Управление по Красноярскому краю Отдел в г. Железногорске)</t>
  </si>
  <si>
    <t>апрель-ноябрь 2016г., требование о погашении 05.07.2017г.</t>
  </si>
  <si>
    <t xml:space="preserve">   Договор N 01-1-2348 от 15.06.15г. (СМР "Создание ОДЦ") до исп., долг и санкции по решению</t>
  </si>
  <si>
    <t xml:space="preserve">   Договор N 01-1-2376 от 17.08.15г. (СМР "Строительство сухого ХОЯТ") до исп., долг и санкции по решению</t>
  </si>
  <si>
    <t>ООО "Молот"</t>
  </si>
  <si>
    <t>Договор №31.07.17_ФО на оказание услуг физической охраны объектов</t>
  </si>
  <si>
    <t>Красэнергострой ООО</t>
  </si>
  <si>
    <t xml:space="preserve">   Акт приема-передачи простых векселей от 28.06.2016г.</t>
  </si>
  <si>
    <r>
      <t xml:space="preserve">Текущая задолженность 14.04.2016-07.09.2017 по данным бух.учета </t>
    </r>
    <r>
      <rPr>
        <b/>
        <sz val="11"/>
        <color indexed="17"/>
        <rFont val="Times New Roman"/>
        <family val="1"/>
        <charset val="204"/>
      </rPr>
      <t/>
    </r>
  </si>
  <si>
    <t>Требование об уплате текущих №212-01-25-04/е 5740 от 02.11.2016, Требование об уплате текущих №212-01-25-04/е 6294 от 30.11.2016, Требование об уплате текущих №212-01-25-04/я 6564 от 14.12.2016 (Сумма по требованиям ОД 98605,08, пени 9233,84)</t>
  </si>
  <si>
    <t>Требование об уплате текущих №212-01-25-04/е 5740 от 02.11.2016 (сумма по требованию ОД 296804,45, пени 9460,70)</t>
  </si>
  <si>
    <t>Требование об уплате текущих №212-01-25-04/е 5740 от 02.11.2016, Требование об уплате текущих №212-01-25-04/е 6294 от 30.11.2016, Требование об уплате текущих №212-01-25-04/я 6564 от 14.12.2016 (Сумма по требованиям ОД 39939,77, пени 1347,79)</t>
  </si>
  <si>
    <t>Требование об уплате текущих №212-01-25-04/е 5823 от 08.11.2016, Требование об уплате текущих №212-01-25-04/е 6385 от 07.12.2016, Требование об уплате текущих №212-01-25-04/543 от 01.02.2017, Решение от 03.08.2017 по делу №А04-4900/2017 (Сумма по требованиям ОД 253288,90, пени 9441,15). В реестр текущих включено сумма ОД по бух. учету 298857,75, по решению от 03.08.2017г. пени 3303,23, ГП 2331,00)</t>
  </si>
  <si>
    <t>Требование об уплате текущих №212-01-25-04/5565 от 24.10.2016 (Сумма по требованию ОД 12177556,96, пени 459899,42)</t>
  </si>
  <si>
    <t>Требование об уплате текущих №212-01-25-04/е 5823 от 08.11.2016, Требование об уплате текущих №212-01-25-04/е 6385 от 07.12.2016 (Сумма по требованиям ОД 6931277,52, пени 75346,10)</t>
  </si>
  <si>
    <t>Требование об уплате текущих №212-01-25-04/е 5823 от 08.11.2016 (Сумма по требованию ОД 3053274,37, пени 65473,23)</t>
  </si>
  <si>
    <t>Требование об уплате текущих №212-01-25-04/е 5823 от 08.11.2016 (Сумма по требованию ОД 265733,98, пени 4783,21)</t>
  </si>
  <si>
    <t>Требование об уплате текущих №212-01-25-04/5565 от 24.10.2016 (Сумма по требованию ОД 19427325,38, пени 301123,54)</t>
  </si>
  <si>
    <t>Требование об уплате текущих №212-01-25-04/5565 от 24.10.2016 (Сумма по требованию ОД 19661746,78, пени 501374,54)</t>
  </si>
  <si>
    <t>Требование об уплате текущих №212-01-25-04/е 5823 от 08.11.2016, Требование об уплате текущих №212-01-25-04/е 6385 от 07.12.2016 (Сумма по требованиям ОД 8070940,89, пени 140521,44)</t>
  </si>
  <si>
    <t>Требование об уплате текущих №212-01-25-04/е 5823 от 08.11.2016 (Сумма по требованию ОД 6597487,06, пени 131949,74)</t>
  </si>
  <si>
    <t>Требование об уплате текущих №212-01-25-04/е 5823 от 08.11.2016 (Сумма по требованию ОД 990950,56, пени 35674,22)</t>
  </si>
  <si>
    <t>Требование об уплате текущих №212-01-25-04/е 5823 от 08.11.2016 (Сумма по требованию ОД 12073764,12, пени 138848,29)</t>
  </si>
  <si>
    <t>Требование об уплате текущих №212-01-25-04/е 6816 от 27.12.2016 (Сумма по требованию ОД 6585428,67, пени 52959,83)</t>
  </si>
  <si>
    <t>Требование об уплате текущих №212-01-25-04/е 5823 от 08.11.2016 (Сумма по требовния ОД 20012553,99, пени 70043,94)</t>
  </si>
  <si>
    <t>Требование об уплате текущих №212-01-25-04/е 6816 от 27.12.2016 (Сумма по требованию ОД 251857,04)</t>
  </si>
  <si>
    <t>Требование об уплате текущих №212-01-25-04/е 6816 от 27.12.2016 (Сумма по требованию ОД 1837378,00)</t>
  </si>
  <si>
    <t>Требование об уплате текущих №212-01-25-04/е 6385 от 07.12.2016 (Сумма по требованию ОД 20021781,48, пени 140808,38)</t>
  </si>
  <si>
    <t>Требование об уплате текущих №212-01-25-04/е 5823 от 08.11.2016 (Сумма по требованию ОД 1130817,60, пени 5088,68)</t>
  </si>
  <si>
    <t>Требование об уплате текущих №212-01-25-04/Г 286 от 19.01.2017 (Сумма по требованию ОД 8615026,81, пени 57681,69)</t>
  </si>
  <si>
    <t>Требование об уплате текущих №212-01-25-04/е 6816 от 27.12.2016 (Сумма по требованию ОД 539576,24, пени 9442,58)</t>
  </si>
  <si>
    <t>Требование об уплате текущих №212-01-25-04/543 от 01.02.2017 (Сумма по требованию ОД 481105,71, пени 8178,80)</t>
  </si>
  <si>
    <t>Требование об уплате текущих №212-01-25-04/е 6294 от 30.11.2016, Требование об уплате текущих №212-01-25-04/543 от 01.02.2017 (Сумма по требования ОД 856991,51, пени 32479,16)</t>
  </si>
  <si>
    <t>Требование об уплате текущих №212-01-25-04/5565 от 24.10.2016 (Сумма по требованию ОД 26820,00, пени 2996,51)</t>
  </si>
  <si>
    <t>Требование об уплате текущих №212-01-25-04/543 от 01.02.2017 (Сумма по требованию ОД 1030044,42, пени 27811,20)</t>
  </si>
  <si>
    <t>Требование об уплате текущих №212-01-25-04/543 от 01.02.2017, Решение от 21 июля 2017 года по делу № А33-10907/2017 (Сумма по требованию ОД 111432,27, пени 3120,10). В реестр включено по решению сумма ОД 111432,27, пени 3120,10, ГП 4437,00)</t>
  </si>
  <si>
    <t>Коммунальные платежи</t>
  </si>
  <si>
    <t>АО "Альфа-Банк"</t>
  </si>
  <si>
    <t>Договор субаренды нежилого помещения от 01.07.2017г. (июль-сентябрь 2017г.), Трансгермес ООО</t>
  </si>
  <si>
    <t>АО "Альфа-Банк" (оплата охранных услуг)</t>
  </si>
  <si>
    <t>Договор №2213 об оказании услуг по охране объектов от 03.03.2017г. ООО "ЧОП "РАТИБОР" (март-август 2017г.)</t>
  </si>
  <si>
    <t>Договор №2230 об оказании услуг по охране объектов от 03.05.2017г. ООО "ЧОП "РАТИБОР" (май-август 2017г.)</t>
  </si>
  <si>
    <t>Договор №2257 об оказании услуг по охране объектов от 01.07.2017г. ООО "ЧОП "РАТИБОР" (июль-август 2017г.)</t>
  </si>
  <si>
    <t>Претензия 19-1160 от 17.08.2017</t>
  </si>
  <si>
    <t>Требование об уплате текущих №212-01-25-04/543 от 01.02.2017 (Сумма по требованию ОД 16335289,54, пени 156818,78). Решение от 08.09.17 по делу А33-10909/2017 (+105461 гос.пошлина)</t>
  </si>
  <si>
    <t xml:space="preserve"> УФНС по Амурской области (налоги и взносы во внебюджетные фонды)</t>
  </si>
  <si>
    <t>Пятая, в том числе:</t>
  </si>
  <si>
    <t>ПФР с 01.01.2017г.</t>
  </si>
  <si>
    <t>Проценты временного управляющего по Определению АС от 10.07.2017г.</t>
  </si>
  <si>
    <t>РЕЕСТР ТЕКУЩЕЙ ЗАДОЛЖЕННОСТИ НА 08.09.2017Г. 
АО "БУРЕЯГЭССТРОЙ"</t>
  </si>
  <si>
    <r>
      <t xml:space="preserve">Текущая задолженность 14.04.2016-08.09.2017 по данным бух.учета </t>
    </r>
    <r>
      <rPr>
        <b/>
        <sz val="11"/>
        <color indexed="17"/>
        <rFont val="Times New Roman"/>
        <family val="1"/>
        <charset val="204"/>
      </rPr>
      <t/>
    </r>
  </si>
  <si>
    <t xml:space="preserve">Текущая задолженность 14.04.2016-08.09.2017 по данным бух.учета </t>
  </si>
  <si>
    <t>Конкурсный управляющий АО "БУРЕЯГЭССТРОЙ"</t>
  </si>
  <si>
    <t>Легалов В.А.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</si>
</sst>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7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43" fontId="1" fillId="2" borderId="1" xfId="0" applyNumberFormat="1" applyFont="1" applyFill="1" applyBorder="1" applyAlignment="1">
      <alignment horizontal="right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 vertical="top" wrapText="1"/>
    </xf>
    <xf numFmtId="4" fontId="1" fillId="3" borderId="1" xfId="0" applyNumberFormat="1" applyFont="1" applyFill="1" applyBorder="1" applyAlignment="1">
      <alignment vertical="center" wrapText="1"/>
    </xf>
    <xf numFmtId="43" fontId="1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left" vertical="top" wrapText="1"/>
    </xf>
    <xf numFmtId="4" fontId="1" fillId="6" borderId="1" xfId="0" applyNumberFormat="1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43" fontId="1" fillId="4" borderId="1" xfId="0" applyNumberFormat="1" applyFont="1" applyFill="1" applyBorder="1" applyAlignment="1">
      <alignment horizontal="center" vertical="center" wrapText="1"/>
    </xf>
    <xf numFmtId="40" fontId="1" fillId="4" borderId="1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2" fillId="0" borderId="1" xfId="0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/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3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43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ill="1"/>
    <xf numFmtId="4" fontId="10" fillId="0" borderId="0" xfId="0" applyNumberFormat="1" applyFont="1"/>
    <xf numFmtId="0" fontId="10" fillId="0" borderId="0" xfId="0" applyFont="1"/>
    <xf numFmtId="0" fontId="1" fillId="0" borderId="0" xfId="0" applyFont="1" applyAlignment="1">
      <alignment horizontal="left" vertical="top" wrapText="1"/>
    </xf>
    <xf numFmtId="0" fontId="9" fillId="0" borderId="3" xfId="0" applyFont="1" applyBorder="1"/>
    <xf numFmtId="4" fontId="9" fillId="0" borderId="0" xfId="0" applyNumberFormat="1" applyFont="1"/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4114800</xdr:colOff>
      <xdr:row>700</xdr:row>
      <xdr:rowOff>66675</xdr:rowOff>
    </xdr:from>
    <xdr:to>
      <xdr:col>1</xdr:col>
      <xdr:colOff>846963</xdr:colOff>
      <xdr:row>704</xdr:row>
      <xdr:rowOff>145923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196195950"/>
          <a:ext cx="1732788" cy="84124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Rar$DIa0.934/&#1055;&#1086;%20&#1085;&#1072;&#1083;&#1086;&#1075;&#1072;&#1084;/&#1053;&#1040;&#1051;&#1054;&#1043;&#1048;%20&#1076;&#1083;&#1103;%20&#1074;&#1082;&#1083;&#1102;&#1095;&#1077;&#1085;&#1080;&#1103;%20&#1074;%20&#1088;&#1077;&#1077;&#1089;&#1090;&#1088;%20&#1090;&#1077;&#1082;%2007.09.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Налоги"/>
      <sheetName val="Лист3"/>
    </sheetNames>
    <sheetDataSet>
      <sheetData sheetId="0"/>
      <sheetData sheetId="1">
        <row r="10">
          <cell r="D10">
            <v>13820617.98</v>
          </cell>
        </row>
        <row r="13">
          <cell r="D13">
            <v>158764.01</v>
          </cell>
        </row>
        <row r="14">
          <cell r="D14">
            <v>2829.97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3"/>
  <sheetViews>
    <sheetView tabSelected="1" topLeftCell="A682" workbookViewId="0">
      <selection activeCell="C702" sqref="C702"/>
    </sheetView>
  </sheetViews>
  <sheetFormatPr defaultRowHeight="15"/>
  <cols>
    <col min="1" max="1" width="75" style="17" customWidth="1"/>
    <col min="2" max="2" width="18.28515625" style="64" customWidth="1"/>
    <col min="3" max="3" width="16.28515625" style="69" customWidth="1"/>
    <col min="4" max="4" width="16.5703125" style="69" bestFit="1" customWidth="1"/>
    <col min="5" max="5" width="45.28515625" style="64" customWidth="1"/>
  </cols>
  <sheetData>
    <row r="1" spans="1:5" ht="28.5" customHeight="1">
      <c r="A1" s="85" t="s">
        <v>767</v>
      </c>
      <c r="B1" s="85"/>
      <c r="C1" s="85"/>
      <c r="D1" s="85"/>
      <c r="E1" s="85"/>
    </row>
    <row r="2" spans="1:5">
      <c r="A2" s="1"/>
    </row>
    <row r="3" spans="1:5">
      <c r="A3" s="1"/>
    </row>
    <row r="4" spans="1:5">
      <c r="A4" s="2" t="s">
        <v>0</v>
      </c>
    </row>
    <row r="5" spans="1:5">
      <c r="A5" s="2" t="s">
        <v>1</v>
      </c>
    </row>
    <row r="6" spans="1:5">
      <c r="A6" s="2" t="s">
        <v>603</v>
      </c>
    </row>
    <row r="7" spans="1:5">
      <c r="A7" s="2" t="s">
        <v>2</v>
      </c>
    </row>
    <row r="8" spans="1:5">
      <c r="A8" s="2"/>
    </row>
    <row r="9" spans="1:5">
      <c r="A9" s="3" t="s">
        <v>3</v>
      </c>
    </row>
    <row r="10" spans="1:5" ht="85.5">
      <c r="A10" s="4" t="s">
        <v>4</v>
      </c>
      <c r="B10" s="4" t="s">
        <v>768</v>
      </c>
      <c r="C10" s="44" t="s">
        <v>595</v>
      </c>
      <c r="D10" s="44" t="s">
        <v>596</v>
      </c>
      <c r="E10" s="4" t="s">
        <v>597</v>
      </c>
    </row>
    <row r="11" spans="1:5">
      <c r="A11" s="5" t="s">
        <v>5</v>
      </c>
      <c r="B11" s="19">
        <f>B12+B14</f>
        <v>82500.36</v>
      </c>
      <c r="C11" s="19">
        <f t="shared" ref="C11:D11" si="0">C12+C14</f>
        <v>82500.36</v>
      </c>
      <c r="D11" s="19">
        <f t="shared" si="0"/>
        <v>60000</v>
      </c>
      <c r="E11" s="20"/>
    </row>
    <row r="12" spans="1:5">
      <c r="A12" s="6" t="s">
        <v>6</v>
      </c>
      <c r="B12" s="21">
        <v>0</v>
      </c>
      <c r="C12" s="31"/>
      <c r="D12" s="31"/>
      <c r="E12" s="22"/>
    </row>
    <row r="13" spans="1:5">
      <c r="A13" s="7" t="s">
        <v>7</v>
      </c>
      <c r="B13" s="23" t="s">
        <v>598</v>
      </c>
      <c r="C13" s="34"/>
      <c r="D13" s="34"/>
      <c r="E13" s="24"/>
    </row>
    <row r="14" spans="1:5">
      <c r="A14" s="6" t="s">
        <v>715</v>
      </c>
      <c r="B14" s="21">
        <f>B15+B16</f>
        <v>82500.36</v>
      </c>
      <c r="C14" s="21">
        <f t="shared" ref="C14:D14" si="1">C15+C16</f>
        <v>82500.36</v>
      </c>
      <c r="D14" s="21">
        <f t="shared" si="1"/>
        <v>60000</v>
      </c>
      <c r="E14" s="22"/>
    </row>
    <row r="15" spans="1:5">
      <c r="A15" s="7" t="s">
        <v>716</v>
      </c>
      <c r="B15" s="23">
        <f>18129.1+4371.26</f>
        <v>22500.36</v>
      </c>
      <c r="C15" s="34">
        <f>B15</f>
        <v>22500.36</v>
      </c>
      <c r="D15" s="34"/>
      <c r="E15" s="24"/>
    </row>
    <row r="16" spans="1:5">
      <c r="A16" s="7" t="s">
        <v>766</v>
      </c>
      <c r="B16" s="23">
        <v>60000</v>
      </c>
      <c r="C16" s="34">
        <f>B16</f>
        <v>60000</v>
      </c>
      <c r="D16" s="34">
        <v>60000</v>
      </c>
      <c r="E16" s="24"/>
    </row>
    <row r="17" spans="1:5">
      <c r="A17" s="74"/>
      <c r="B17" s="75"/>
      <c r="C17" s="76"/>
      <c r="D17" s="76"/>
      <c r="E17" s="77"/>
    </row>
    <row r="18" spans="1:5">
      <c r="A18" s="1"/>
      <c r="B18" s="1"/>
      <c r="C18" s="27"/>
      <c r="D18" s="27"/>
      <c r="E18" s="18"/>
    </row>
    <row r="19" spans="1:5">
      <c r="A19" s="3" t="s">
        <v>8</v>
      </c>
      <c r="B19" s="1"/>
      <c r="C19" s="27"/>
      <c r="D19" s="27"/>
      <c r="E19" s="18"/>
    </row>
    <row r="20" spans="1:5">
      <c r="A20" s="2"/>
      <c r="B20" s="1"/>
      <c r="C20" s="27"/>
      <c r="D20" s="27"/>
      <c r="E20" s="18"/>
    </row>
    <row r="21" spans="1:5" ht="85.5">
      <c r="A21" s="4" t="s">
        <v>4</v>
      </c>
      <c r="B21" s="4" t="s">
        <v>768</v>
      </c>
      <c r="C21" s="44" t="s">
        <v>595</v>
      </c>
      <c r="D21" s="44" t="s">
        <v>596</v>
      </c>
      <c r="E21" s="4" t="s">
        <v>597</v>
      </c>
    </row>
    <row r="22" spans="1:5">
      <c r="A22" s="5" t="s">
        <v>5</v>
      </c>
      <c r="B22" s="19">
        <f>B23+B24+B25+B26+B27+B28+B29+B30</f>
        <v>111616404.98000005</v>
      </c>
      <c r="C22" s="52">
        <f>C23+C24+C30</f>
        <v>0</v>
      </c>
      <c r="D22" s="52">
        <f>D23+D24+D30</f>
        <v>0</v>
      </c>
      <c r="E22" s="20"/>
    </row>
    <row r="23" spans="1:5">
      <c r="A23" s="7" t="s">
        <v>9</v>
      </c>
      <c r="B23" s="23">
        <v>2779461.7399999988</v>
      </c>
      <c r="C23" s="34"/>
      <c r="D23" s="34"/>
      <c r="E23" s="25"/>
    </row>
    <row r="24" spans="1:5">
      <c r="A24" s="7" t="s">
        <v>10</v>
      </c>
      <c r="B24" s="23">
        <v>22905536.979999997</v>
      </c>
      <c r="C24" s="34"/>
      <c r="D24" s="34"/>
      <c r="E24" s="25"/>
    </row>
    <row r="25" spans="1:5">
      <c r="A25" s="15" t="s">
        <v>565</v>
      </c>
      <c r="B25" s="34">
        <v>67752520.030000046</v>
      </c>
      <c r="C25" s="34"/>
      <c r="D25" s="34"/>
      <c r="E25" s="24" t="s">
        <v>602</v>
      </c>
    </row>
    <row r="26" spans="1:5">
      <c r="A26" s="15" t="s">
        <v>566</v>
      </c>
      <c r="B26" s="34">
        <v>24180.809999999998</v>
      </c>
      <c r="C26" s="34"/>
      <c r="D26" s="34"/>
      <c r="E26" s="24" t="s">
        <v>602</v>
      </c>
    </row>
    <row r="27" spans="1:5">
      <c r="A27" s="15" t="s">
        <v>567</v>
      </c>
      <c r="B27" s="34">
        <v>2041.36</v>
      </c>
      <c r="C27" s="34"/>
      <c r="D27" s="34"/>
      <c r="E27" s="24" t="s">
        <v>602</v>
      </c>
    </row>
    <row r="28" spans="1:5">
      <c r="A28" s="15" t="s">
        <v>568</v>
      </c>
      <c r="B28" s="34">
        <v>4152985.8800000008</v>
      </c>
      <c r="C28" s="34"/>
      <c r="D28" s="34"/>
      <c r="E28" s="24" t="s">
        <v>602</v>
      </c>
    </row>
    <row r="29" spans="1:5">
      <c r="A29" s="15" t="s">
        <v>569</v>
      </c>
      <c r="B29" s="34">
        <v>17466.219999999998</v>
      </c>
      <c r="C29" s="34"/>
      <c r="D29" s="34"/>
      <c r="E29" s="24" t="s">
        <v>602</v>
      </c>
    </row>
    <row r="30" spans="1:5">
      <c r="A30" s="7" t="s">
        <v>11</v>
      </c>
      <c r="B30" s="23">
        <f>[1]Налоги!$D$10+[1]Налоги!$D$13+[1]Налоги!$D$14</f>
        <v>13982211.960000001</v>
      </c>
      <c r="C30" s="34"/>
      <c r="D30" s="34"/>
      <c r="E30" s="25" t="s">
        <v>765</v>
      </c>
    </row>
    <row r="31" spans="1:5">
      <c r="A31" s="1"/>
      <c r="B31" s="1"/>
      <c r="C31" s="27"/>
      <c r="D31" s="27"/>
      <c r="E31" s="18"/>
    </row>
    <row r="32" spans="1:5">
      <c r="A32" s="1"/>
      <c r="B32" s="1"/>
      <c r="C32" s="27"/>
      <c r="D32" s="27"/>
      <c r="E32" s="18"/>
    </row>
    <row r="33" spans="1:5">
      <c r="A33" s="3" t="s">
        <v>12</v>
      </c>
      <c r="B33" s="1"/>
      <c r="C33" s="27"/>
      <c r="D33" s="27"/>
      <c r="E33" s="18"/>
    </row>
    <row r="34" spans="1:5">
      <c r="A34" s="2"/>
      <c r="B34" s="1"/>
      <c r="C34" s="27"/>
      <c r="D34" s="27"/>
      <c r="E34" s="18"/>
    </row>
    <row r="35" spans="1:5" ht="85.5">
      <c r="A35" s="4" t="s">
        <v>4</v>
      </c>
      <c r="B35" s="4" t="s">
        <v>769</v>
      </c>
      <c r="C35" s="44" t="s">
        <v>595</v>
      </c>
      <c r="D35" s="44" t="s">
        <v>596</v>
      </c>
      <c r="E35" s="4" t="s">
        <v>597</v>
      </c>
    </row>
    <row r="36" spans="1:5">
      <c r="A36" s="5" t="s">
        <v>5</v>
      </c>
      <c r="B36" s="19">
        <f>B37+B41+B43+B45+B48</f>
        <v>8121702</v>
      </c>
      <c r="C36" s="52">
        <f>C37+C41+C43</f>
        <v>0</v>
      </c>
      <c r="D36" s="52">
        <f>D37+D41+D43</f>
        <v>0</v>
      </c>
      <c r="E36" s="20"/>
    </row>
    <row r="37" spans="1:5">
      <c r="A37" s="6" t="s">
        <v>757</v>
      </c>
      <c r="B37" s="21">
        <f>B38+B39+B40</f>
        <v>4788262</v>
      </c>
      <c r="C37" s="34"/>
      <c r="D37" s="34"/>
      <c r="E37" s="25"/>
    </row>
    <row r="38" spans="1:5" ht="30">
      <c r="A38" s="7" t="s">
        <v>758</v>
      </c>
      <c r="B38" s="23">
        <v>1220520</v>
      </c>
      <c r="C38" s="34"/>
      <c r="D38" s="34"/>
      <c r="E38" s="25"/>
    </row>
    <row r="39" spans="1:5" ht="30">
      <c r="A39" s="7" t="s">
        <v>759</v>
      </c>
      <c r="B39" s="23">
        <f>1967742</f>
        <v>1967742</v>
      </c>
      <c r="C39" s="34"/>
      <c r="D39" s="34"/>
      <c r="E39" s="25"/>
    </row>
    <row r="40" spans="1:5" ht="30">
      <c r="A40" s="7" t="s">
        <v>760</v>
      </c>
      <c r="B40" s="23">
        <v>1600000</v>
      </c>
      <c r="C40" s="34"/>
      <c r="D40" s="34"/>
      <c r="E40" s="25"/>
    </row>
    <row r="41" spans="1:5">
      <c r="A41" s="6" t="s">
        <v>13</v>
      </c>
      <c r="B41" s="21">
        <f>B42</f>
        <v>2500000</v>
      </c>
      <c r="C41" s="34">
        <f>C42</f>
        <v>0</v>
      </c>
      <c r="D41" s="34">
        <f>D42</f>
        <v>0</v>
      </c>
      <c r="E41" s="25"/>
    </row>
    <row r="42" spans="1:5" ht="45">
      <c r="A42" s="7" t="s">
        <v>14</v>
      </c>
      <c r="B42" s="23">
        <v>2500000</v>
      </c>
      <c r="C42" s="34"/>
      <c r="D42" s="34"/>
      <c r="E42" s="25"/>
    </row>
    <row r="43" spans="1:5">
      <c r="A43" s="6" t="s">
        <v>15</v>
      </c>
      <c r="B43" s="21">
        <f>B44</f>
        <v>390000</v>
      </c>
      <c r="C43" s="34">
        <f>C44</f>
        <v>0</v>
      </c>
      <c r="D43" s="34">
        <f>D44</f>
        <v>0</v>
      </c>
      <c r="E43" s="25"/>
    </row>
    <row r="44" spans="1:5">
      <c r="A44" s="7" t="s">
        <v>16</v>
      </c>
      <c r="B44" s="23">
        <v>390000</v>
      </c>
      <c r="C44" s="34"/>
      <c r="D44" s="34"/>
      <c r="E44" s="25"/>
    </row>
    <row r="45" spans="1:5">
      <c r="A45" s="6" t="s">
        <v>17</v>
      </c>
      <c r="B45" s="21">
        <f>B46+B47</f>
        <v>250000</v>
      </c>
      <c r="C45" s="34"/>
      <c r="D45" s="34"/>
      <c r="E45" s="25"/>
    </row>
    <row r="46" spans="1:5" ht="30">
      <c r="A46" s="7" t="s">
        <v>18</v>
      </c>
      <c r="B46" s="23">
        <v>130000</v>
      </c>
      <c r="C46" s="34"/>
      <c r="D46" s="34"/>
      <c r="E46" s="25"/>
    </row>
    <row r="47" spans="1:5">
      <c r="A47" s="7" t="s">
        <v>19</v>
      </c>
      <c r="B47" s="23">
        <v>120000</v>
      </c>
      <c r="C47" s="34"/>
      <c r="D47" s="34"/>
      <c r="E47" s="25"/>
    </row>
    <row r="48" spans="1:5">
      <c r="A48" s="6" t="s">
        <v>722</v>
      </c>
      <c r="B48" s="21">
        <f>B49</f>
        <v>193440</v>
      </c>
      <c r="C48" s="34"/>
      <c r="D48" s="34"/>
      <c r="E48" s="25"/>
    </row>
    <row r="49" spans="1:5">
      <c r="A49" s="7" t="s">
        <v>723</v>
      </c>
      <c r="B49" s="23">
        <v>193440</v>
      </c>
      <c r="C49" s="34"/>
      <c r="D49" s="34"/>
      <c r="E49" s="25"/>
    </row>
    <row r="50" spans="1:5">
      <c r="A50" s="1"/>
      <c r="C50" s="27"/>
      <c r="D50" s="27"/>
      <c r="E50" s="18"/>
    </row>
    <row r="51" spans="1:5">
      <c r="A51" s="1"/>
      <c r="C51" s="27"/>
      <c r="D51" s="27"/>
      <c r="E51" s="18"/>
    </row>
    <row r="52" spans="1:5">
      <c r="A52" s="3" t="s">
        <v>601</v>
      </c>
      <c r="C52" s="27"/>
      <c r="D52" s="27"/>
      <c r="E52" s="18"/>
    </row>
    <row r="53" spans="1:5">
      <c r="A53" s="1"/>
      <c r="C53" s="27"/>
      <c r="D53" s="27"/>
      <c r="E53" s="18"/>
    </row>
    <row r="54" spans="1:5" ht="85.5">
      <c r="A54" s="4" t="s">
        <v>4</v>
      </c>
      <c r="B54" s="4" t="s">
        <v>769</v>
      </c>
      <c r="C54" s="44" t="s">
        <v>595</v>
      </c>
      <c r="D54" s="44" t="s">
        <v>596</v>
      </c>
      <c r="E54" s="4" t="s">
        <v>597</v>
      </c>
    </row>
    <row r="55" spans="1:5">
      <c r="A55" s="54" t="s">
        <v>5</v>
      </c>
      <c r="B55" s="26">
        <f>B56+B71</f>
        <v>5915678.0899999999</v>
      </c>
      <c r="C55" s="26">
        <f>C56+C71</f>
        <v>1533968.29</v>
      </c>
      <c r="D55" s="26">
        <f>D56+D71</f>
        <v>4024220.1700000004</v>
      </c>
      <c r="E55" s="20"/>
    </row>
    <row r="56" spans="1:5">
      <c r="A56" s="55" t="s">
        <v>20</v>
      </c>
      <c r="B56" s="28">
        <f>B57+B62+B65+B67+B69</f>
        <v>1664654.02</v>
      </c>
      <c r="C56" s="28">
        <f>C57+C62+C65+C67</f>
        <v>455391.63</v>
      </c>
      <c r="D56" s="28">
        <f>D57+D62+D65+D67</f>
        <v>1020523.52</v>
      </c>
      <c r="E56" s="29"/>
    </row>
    <row r="57" spans="1:5">
      <c r="A57" s="56" t="s">
        <v>21</v>
      </c>
      <c r="B57" s="30">
        <f>SUM(B58:B61)</f>
        <v>453764.38000000006</v>
      </c>
      <c r="C57" s="30">
        <f>SUM(C58:C61)</f>
        <v>455391.63</v>
      </c>
      <c r="D57" s="31">
        <f>SUM(D58:D61)</f>
        <v>0</v>
      </c>
      <c r="E57" s="32"/>
    </row>
    <row r="58" spans="1:5" ht="90">
      <c r="A58" s="57" t="s">
        <v>22</v>
      </c>
      <c r="B58" s="33">
        <v>98605.08</v>
      </c>
      <c r="C58" s="33">
        <v>107838.92</v>
      </c>
      <c r="D58" s="34"/>
      <c r="E58" s="35" t="s">
        <v>727</v>
      </c>
    </row>
    <row r="59" spans="1:5" ht="45">
      <c r="A59" s="57" t="s">
        <v>23</v>
      </c>
      <c r="B59" s="33">
        <v>296804.45</v>
      </c>
      <c r="C59" s="33">
        <v>306265.15000000002</v>
      </c>
      <c r="D59" s="34"/>
      <c r="E59" s="35" t="s">
        <v>728</v>
      </c>
    </row>
    <row r="60" spans="1:5" ht="90">
      <c r="A60" s="57" t="s">
        <v>24</v>
      </c>
      <c r="B60" s="33">
        <v>39939.770000000004</v>
      </c>
      <c r="C60" s="33">
        <v>41287.56</v>
      </c>
      <c r="D60" s="34"/>
      <c r="E60" s="35" t="s">
        <v>729</v>
      </c>
    </row>
    <row r="61" spans="1:5" ht="30">
      <c r="A61" s="57" t="s">
        <v>25</v>
      </c>
      <c r="B61" s="33">
        <v>18415.079999999998</v>
      </c>
      <c r="C61" s="33"/>
      <c r="D61" s="34"/>
      <c r="E61" s="35"/>
    </row>
    <row r="62" spans="1:5">
      <c r="A62" s="58" t="s">
        <v>26</v>
      </c>
      <c r="B62" s="36">
        <f>B63+B64</f>
        <v>1020523.51</v>
      </c>
      <c r="C62" s="36">
        <f>C63+C64</f>
        <v>0</v>
      </c>
      <c r="D62" s="36">
        <f>D63+D64</f>
        <v>1020523.52</v>
      </c>
      <c r="E62" s="37"/>
    </row>
    <row r="63" spans="1:5" ht="30">
      <c r="A63" s="59" t="s">
        <v>27</v>
      </c>
      <c r="B63" s="38">
        <v>982661.11</v>
      </c>
      <c r="C63" s="38"/>
      <c r="D63" s="38">
        <v>978589.79</v>
      </c>
      <c r="E63" s="39" t="s">
        <v>675</v>
      </c>
    </row>
    <row r="64" spans="1:5" ht="30">
      <c r="A64" s="59" t="s">
        <v>28</v>
      </c>
      <c r="B64" s="38">
        <v>37862.400000000001</v>
      </c>
      <c r="C64" s="38"/>
      <c r="D64" s="38">
        <v>41933.730000000003</v>
      </c>
      <c r="E64" s="39" t="s">
        <v>669</v>
      </c>
    </row>
    <row r="65" spans="1:5">
      <c r="A65" s="58" t="s">
        <v>29</v>
      </c>
      <c r="B65" s="36">
        <f>B66</f>
        <v>54000</v>
      </c>
      <c r="C65" s="36">
        <f>C66</f>
        <v>0</v>
      </c>
      <c r="D65" s="36">
        <f>D66</f>
        <v>0</v>
      </c>
      <c r="E65" s="37"/>
    </row>
    <row r="66" spans="1:5" ht="30">
      <c r="A66" s="57" t="s">
        <v>30</v>
      </c>
      <c r="B66" s="34">
        <v>54000</v>
      </c>
      <c r="C66" s="34"/>
      <c r="D66" s="34"/>
      <c r="E66" s="24"/>
    </row>
    <row r="67" spans="1:5">
      <c r="A67" s="58" t="s">
        <v>31</v>
      </c>
      <c r="B67" s="36">
        <f>B68</f>
        <v>116973.4</v>
      </c>
      <c r="C67" s="36">
        <f>C68</f>
        <v>0</v>
      </c>
      <c r="D67" s="36">
        <f>D68</f>
        <v>0</v>
      </c>
      <c r="E67" s="37"/>
    </row>
    <row r="68" spans="1:5" ht="30">
      <c r="A68" s="59" t="s">
        <v>32</v>
      </c>
      <c r="B68" s="38">
        <v>116973.4</v>
      </c>
      <c r="C68" s="38"/>
      <c r="D68" s="38"/>
      <c r="E68" s="39"/>
    </row>
    <row r="69" spans="1:5">
      <c r="A69" s="58" t="s">
        <v>33</v>
      </c>
      <c r="B69" s="40">
        <f>B70</f>
        <v>19392.73</v>
      </c>
      <c r="C69" s="38"/>
      <c r="D69" s="38"/>
      <c r="E69" s="39"/>
    </row>
    <row r="70" spans="1:5">
      <c r="A70" s="59" t="s">
        <v>34</v>
      </c>
      <c r="B70" s="38">
        <v>19392.73</v>
      </c>
      <c r="C70" s="38"/>
      <c r="D70" s="38"/>
      <c r="E70" s="39"/>
    </row>
    <row r="71" spans="1:5" ht="28.5">
      <c r="A71" s="55" t="s">
        <v>35</v>
      </c>
      <c r="B71" s="41">
        <f>B72+B79+B81+B84+B86+B88+B92+B99+B101+B103+B90+B105</f>
        <v>4251024.07</v>
      </c>
      <c r="C71" s="41">
        <f t="shared" ref="C71:D71" si="2">C72+C79+C81+C84+C86+C88+C92+C99+C101+C103+C90+C105</f>
        <v>1078576.6599999999</v>
      </c>
      <c r="D71" s="41">
        <f t="shared" si="2"/>
        <v>3003696.6500000004</v>
      </c>
      <c r="E71" s="29"/>
    </row>
    <row r="72" spans="1:5">
      <c r="A72" s="58" t="s">
        <v>36</v>
      </c>
      <c r="B72" s="36">
        <f>B73+B74+B75+B76+B77+B78</f>
        <v>748669.55999999994</v>
      </c>
      <c r="C72" s="36">
        <f>C73+C74+C75+C76+C77+C78</f>
        <v>0</v>
      </c>
      <c r="D72" s="36">
        <f>D73+D74+D75+D76+D77+D78</f>
        <v>945534.84000000008</v>
      </c>
      <c r="E72" s="37"/>
    </row>
    <row r="73" spans="1:5">
      <c r="A73" s="59" t="s">
        <v>37</v>
      </c>
      <c r="B73" s="38">
        <v>1575.4</v>
      </c>
      <c r="C73" s="38"/>
      <c r="D73" s="38"/>
      <c r="E73" s="4"/>
    </row>
    <row r="74" spans="1:5" ht="60">
      <c r="A74" s="59" t="s">
        <v>38</v>
      </c>
      <c r="B74" s="38">
        <v>532307.28</v>
      </c>
      <c r="C74" s="38"/>
      <c r="D74" s="38">
        <f>46702.08+2594.08+538107.34+32993.55+170704.18+8739.03</f>
        <v>799840.26</v>
      </c>
      <c r="E74" s="39" t="s">
        <v>656</v>
      </c>
    </row>
    <row r="75" spans="1:5">
      <c r="A75" s="59" t="s">
        <v>39</v>
      </c>
      <c r="B75" s="38">
        <v>42185.100000000006</v>
      </c>
      <c r="C75" s="38"/>
      <c r="D75" s="38"/>
      <c r="E75" s="39"/>
    </row>
    <row r="76" spans="1:5" ht="30">
      <c r="A76" s="59" t="s">
        <v>40</v>
      </c>
      <c r="B76" s="38">
        <v>4309.1899999999996</v>
      </c>
      <c r="C76" s="38"/>
      <c r="D76" s="38">
        <f>4252.93+432.91</f>
        <v>4685.84</v>
      </c>
      <c r="E76" s="39" t="s">
        <v>641</v>
      </c>
    </row>
    <row r="77" spans="1:5" ht="30">
      <c r="A77" s="59" t="s">
        <v>41</v>
      </c>
      <c r="B77" s="38">
        <v>17255.690000000002</v>
      </c>
      <c r="C77" s="38"/>
      <c r="D77" s="38">
        <v>7344.79</v>
      </c>
      <c r="E77" s="39" t="s">
        <v>646</v>
      </c>
    </row>
    <row r="78" spans="1:5" ht="60">
      <c r="A78" s="59" t="s">
        <v>42</v>
      </c>
      <c r="B78" s="38">
        <v>151036.90000000002</v>
      </c>
      <c r="C78" s="38"/>
      <c r="D78" s="38">
        <f>52803.94+1897.99+20078.64+1139.02+54414.36+3330</f>
        <v>133663.95000000001</v>
      </c>
      <c r="E78" s="39" t="s">
        <v>655</v>
      </c>
    </row>
    <row r="79" spans="1:5">
      <c r="A79" s="58" t="s">
        <v>43</v>
      </c>
      <c r="B79" s="36">
        <f>B80</f>
        <v>2803.7200000000003</v>
      </c>
      <c r="C79" s="36">
        <f>C80</f>
        <v>0</v>
      </c>
      <c r="D79" s="36">
        <f>D80</f>
        <v>0</v>
      </c>
      <c r="E79" s="37"/>
    </row>
    <row r="80" spans="1:5">
      <c r="A80" s="59" t="s">
        <v>44</v>
      </c>
      <c r="B80" s="38">
        <v>2803.7200000000003</v>
      </c>
      <c r="C80" s="38"/>
      <c r="D80" s="38"/>
      <c r="E80" s="4"/>
    </row>
    <row r="81" spans="1:5">
      <c r="A81" s="56" t="s">
        <v>45</v>
      </c>
      <c r="B81" s="31">
        <f>B82+B83</f>
        <v>1430060.33</v>
      </c>
      <c r="C81" s="31">
        <f>C82+C83</f>
        <v>0</v>
      </c>
      <c r="D81" s="31">
        <f>D82+D83</f>
        <v>777202.54</v>
      </c>
      <c r="E81" s="32"/>
    </row>
    <row r="82" spans="1:5" ht="30">
      <c r="A82" s="57" t="s">
        <v>46</v>
      </c>
      <c r="B82" s="34">
        <v>652857.77</v>
      </c>
      <c r="C82" s="34"/>
      <c r="D82" s="34"/>
      <c r="E82" s="24"/>
    </row>
    <row r="83" spans="1:5">
      <c r="A83" s="57" t="s">
        <v>47</v>
      </c>
      <c r="B83" s="34">
        <v>777202.56</v>
      </c>
      <c r="C83" s="34"/>
      <c r="D83" s="34">
        <f>777202.54</f>
        <v>777202.54</v>
      </c>
      <c r="E83" s="24" t="s">
        <v>600</v>
      </c>
    </row>
    <row r="84" spans="1:5">
      <c r="A84" s="56" t="s">
        <v>48</v>
      </c>
      <c r="B84" s="31">
        <f>B85</f>
        <v>1402706.0400000003</v>
      </c>
      <c r="C84" s="31">
        <f>C85</f>
        <v>1078576.6599999999</v>
      </c>
      <c r="D84" s="31">
        <f>D85</f>
        <v>1280959.27</v>
      </c>
      <c r="E84" s="32"/>
    </row>
    <row r="85" spans="1:5" ht="60">
      <c r="A85" s="57" t="s">
        <v>49</v>
      </c>
      <c r="B85" s="34">
        <v>1402706.0400000003</v>
      </c>
      <c r="C85" s="34">
        <v>1078576.6599999999</v>
      </c>
      <c r="D85" s="34">
        <v>1280959.27</v>
      </c>
      <c r="E85" s="24" t="s">
        <v>638</v>
      </c>
    </row>
    <row r="86" spans="1:5">
      <c r="A86" s="58" t="s">
        <v>50</v>
      </c>
      <c r="B86" s="36">
        <f>B87</f>
        <v>1234.9000000000001</v>
      </c>
      <c r="C86" s="36">
        <f>C87</f>
        <v>0</v>
      </c>
      <c r="D86" s="36">
        <f>D87</f>
        <v>0</v>
      </c>
      <c r="E86" s="37"/>
    </row>
    <row r="87" spans="1:5" ht="45">
      <c r="A87" s="59" t="s">
        <v>51</v>
      </c>
      <c r="B87" s="38">
        <v>1234.9000000000001</v>
      </c>
      <c r="C87" s="38"/>
      <c r="D87" s="38"/>
      <c r="E87" s="4"/>
    </row>
    <row r="88" spans="1:5">
      <c r="A88" s="58" t="s">
        <v>52</v>
      </c>
      <c r="B88" s="36">
        <f>B89</f>
        <v>326408.31</v>
      </c>
      <c r="C88" s="36">
        <f>C89</f>
        <v>0</v>
      </c>
      <c r="D88" s="36">
        <f>D89</f>
        <v>0</v>
      </c>
      <c r="E88" s="37"/>
    </row>
    <row r="89" spans="1:5" ht="30">
      <c r="A89" s="59" t="s">
        <v>53</v>
      </c>
      <c r="B89" s="38">
        <v>326408.31</v>
      </c>
      <c r="C89" s="38"/>
      <c r="D89" s="38"/>
      <c r="E89" s="39"/>
    </row>
    <row r="90" spans="1:5">
      <c r="A90" s="58" t="s">
        <v>54</v>
      </c>
      <c r="B90" s="36">
        <f>B91</f>
        <v>2000</v>
      </c>
      <c r="C90" s="36">
        <f>C91</f>
        <v>0</v>
      </c>
      <c r="D90" s="36">
        <f>D91</f>
        <v>0</v>
      </c>
      <c r="E90" s="37"/>
    </row>
    <row r="91" spans="1:5">
      <c r="A91" s="59" t="s">
        <v>55</v>
      </c>
      <c r="B91" s="38">
        <v>2000</v>
      </c>
      <c r="C91" s="38"/>
      <c r="D91" s="38"/>
      <c r="E91" s="39"/>
    </row>
    <row r="92" spans="1:5">
      <c r="A92" s="58" t="s">
        <v>56</v>
      </c>
      <c r="B92" s="36">
        <f>B93+B94+B95+B96+B97+B98</f>
        <v>203151.46000000002</v>
      </c>
      <c r="C92" s="36">
        <f>C93+C94+C95+C96+C97+C98</f>
        <v>0</v>
      </c>
      <c r="D92" s="36">
        <f>D93+D94+D95+D96+D97+D98</f>
        <v>0</v>
      </c>
      <c r="E92" s="37"/>
    </row>
    <row r="93" spans="1:5" ht="30">
      <c r="A93" s="59" t="s">
        <v>57</v>
      </c>
      <c r="B93" s="38">
        <v>8435.76</v>
      </c>
      <c r="C93" s="38"/>
      <c r="D93" s="38"/>
      <c r="E93" s="39"/>
    </row>
    <row r="94" spans="1:5">
      <c r="A94" s="59" t="s">
        <v>58</v>
      </c>
      <c r="B94" s="38">
        <v>20027.96</v>
      </c>
      <c r="C94" s="38"/>
      <c r="D94" s="38"/>
      <c r="E94" s="39"/>
    </row>
    <row r="95" spans="1:5" ht="30">
      <c r="A95" s="59" t="s">
        <v>59</v>
      </c>
      <c r="B95" s="38">
        <v>73571.45</v>
      </c>
      <c r="C95" s="38"/>
      <c r="D95" s="38"/>
      <c r="E95" s="39"/>
    </row>
    <row r="96" spans="1:5" ht="30">
      <c r="A96" s="59" t="s">
        <v>60</v>
      </c>
      <c r="B96" s="38">
        <v>17202.119999999995</v>
      </c>
      <c r="C96" s="38"/>
      <c r="D96" s="38"/>
      <c r="E96" s="39"/>
    </row>
    <row r="97" spans="1:5">
      <c r="A97" s="59" t="s">
        <v>61</v>
      </c>
      <c r="B97" s="38">
        <v>16121.400000000001</v>
      </c>
      <c r="C97" s="38"/>
      <c r="D97" s="38"/>
      <c r="E97" s="39"/>
    </row>
    <row r="98" spans="1:5" ht="30">
      <c r="A98" s="60" t="s">
        <v>62</v>
      </c>
      <c r="B98" s="42">
        <v>67792.770000000019</v>
      </c>
      <c r="C98" s="42"/>
      <c r="D98" s="42"/>
      <c r="E98" s="43"/>
    </row>
    <row r="99" spans="1:5">
      <c r="A99" s="61" t="s">
        <v>63</v>
      </c>
      <c r="B99" s="31">
        <v>55649.860000000008</v>
      </c>
      <c r="C99" s="34"/>
      <c r="D99" s="34"/>
      <c r="E99" s="24"/>
    </row>
    <row r="100" spans="1:5">
      <c r="A100" s="65" t="s">
        <v>64</v>
      </c>
      <c r="B100" s="34">
        <v>55649.860000000008</v>
      </c>
      <c r="C100" s="34"/>
      <c r="D100" s="34"/>
      <c r="E100" s="24"/>
    </row>
    <row r="101" spans="1:5">
      <c r="A101" s="61" t="s">
        <v>65</v>
      </c>
      <c r="B101" s="31">
        <v>5906.32</v>
      </c>
      <c r="C101" s="34"/>
      <c r="D101" s="34"/>
      <c r="E101" s="24"/>
    </row>
    <row r="102" spans="1:5" ht="30">
      <c r="A102" s="65" t="s">
        <v>66</v>
      </c>
      <c r="B102" s="34">
        <v>5906.32</v>
      </c>
      <c r="C102" s="34"/>
      <c r="D102" s="34"/>
      <c r="E102" s="24"/>
    </row>
    <row r="103" spans="1:5">
      <c r="A103" s="61" t="s">
        <v>67</v>
      </c>
      <c r="B103" s="31">
        <v>63568.57</v>
      </c>
      <c r="C103" s="34"/>
      <c r="D103" s="34"/>
      <c r="E103" s="24"/>
    </row>
    <row r="104" spans="1:5">
      <c r="A104" s="65" t="s">
        <v>68</v>
      </c>
      <c r="B104" s="34">
        <v>63568.57</v>
      </c>
      <c r="C104" s="34"/>
      <c r="D104" s="34"/>
      <c r="E104" s="24"/>
    </row>
    <row r="105" spans="1:5">
      <c r="A105" s="11" t="s">
        <v>440</v>
      </c>
      <c r="B105" s="31">
        <f>SUM(B106:B106)</f>
        <v>8865</v>
      </c>
      <c r="C105" s="31">
        <f t="shared" ref="C105:D105" si="3">SUM(C106:C106)</f>
        <v>0</v>
      </c>
      <c r="D105" s="31">
        <f t="shared" si="3"/>
        <v>0</v>
      </c>
      <c r="E105" s="32"/>
    </row>
    <row r="106" spans="1:5">
      <c r="A106" s="15" t="s">
        <v>754</v>
      </c>
      <c r="B106" s="34">
        <v>8865</v>
      </c>
      <c r="C106" s="34"/>
      <c r="D106" s="34"/>
      <c r="E106" s="24"/>
    </row>
    <row r="107" spans="1:5">
      <c r="A107" s="12"/>
    </row>
    <row r="108" spans="1:5">
      <c r="A108" s="1"/>
    </row>
    <row r="109" spans="1:5">
      <c r="A109" s="3" t="s">
        <v>69</v>
      </c>
    </row>
    <row r="110" spans="1:5">
      <c r="A110" s="2"/>
    </row>
    <row r="111" spans="1:5">
      <c r="A111" s="2"/>
    </row>
    <row r="112" spans="1:5" ht="85.5">
      <c r="A112" s="4" t="s">
        <v>4</v>
      </c>
      <c r="B112" s="44" t="s">
        <v>769</v>
      </c>
      <c r="C112" s="44" t="s">
        <v>595</v>
      </c>
      <c r="D112" s="44" t="s">
        <v>596</v>
      </c>
      <c r="E112" s="4" t="s">
        <v>597</v>
      </c>
    </row>
    <row r="113" spans="1:5">
      <c r="A113" s="51" t="s">
        <v>5</v>
      </c>
      <c r="B113" s="52">
        <f>B114+B326+B384+B442+B449+B608+B682+B692+B698</f>
        <v>984861792.65999997</v>
      </c>
      <c r="C113" s="52">
        <f>C114+C326+C384+C442+C449+C608+C682</f>
        <v>314769735.40999997</v>
      </c>
      <c r="D113" s="52">
        <f>D114+D326+D384+D442+D449+D608+D682</f>
        <v>163756976.99999997</v>
      </c>
      <c r="E113" s="53"/>
    </row>
    <row r="114" spans="1:5">
      <c r="A114" s="14" t="s">
        <v>70</v>
      </c>
      <c r="B114" s="46">
        <f>B115+B200+B285+B306</f>
        <v>523892247.95000005</v>
      </c>
      <c r="C114" s="46">
        <f>C115+C200+C285+C306</f>
        <v>256264291.61999995</v>
      </c>
      <c r="D114" s="46">
        <f>D115+D200+D285+D306</f>
        <v>125832171.36000001</v>
      </c>
      <c r="E114" s="45"/>
    </row>
    <row r="115" spans="1:5">
      <c r="A115" s="13" t="s">
        <v>71</v>
      </c>
      <c r="B115" s="41">
        <f>B116+B121+B123+B125+B127+B129+B131+B133+B135+B137+B140+B142+B144+B146+B148+B150+B155+B159+B163+B166+B168+B170+B172+B175+B182+B184+B187+B189+B191+B194+B197</f>
        <v>273875866.28000003</v>
      </c>
      <c r="C115" s="41">
        <f t="shared" ref="C115:D115" si="4">C116+C121+C123+C125+C127+C129+C131+C133+C135+C137+C140+C142+C144+C146+C148+C150+C155+C159+C163+C166+C168+C170+C172+C175+C182+C184+C187+C189+C191+C194+C197</f>
        <v>26602100.789999999</v>
      </c>
      <c r="D115" s="41">
        <f t="shared" si="4"/>
        <v>41555994.100000001</v>
      </c>
      <c r="E115" s="10"/>
    </row>
    <row r="116" spans="1:5">
      <c r="A116" s="11" t="s">
        <v>72</v>
      </c>
      <c r="B116" s="31">
        <v>12875589.76</v>
      </c>
      <c r="C116" s="31"/>
      <c r="D116" s="31">
        <f>SUM(D117:D120)</f>
        <v>12471824.960000001</v>
      </c>
      <c r="E116" s="32"/>
    </row>
    <row r="117" spans="1:5" ht="30">
      <c r="A117" s="15" t="s">
        <v>690</v>
      </c>
      <c r="B117" s="34">
        <v>4561706.5799999991</v>
      </c>
      <c r="C117" s="34"/>
      <c r="D117" s="34">
        <f>4561706.58+246789.64</f>
        <v>4808496.22</v>
      </c>
      <c r="E117" s="24" t="s">
        <v>692</v>
      </c>
    </row>
    <row r="118" spans="1:5" ht="30">
      <c r="A118" s="15" t="s">
        <v>73</v>
      </c>
      <c r="B118" s="34">
        <v>1582141.1099999994</v>
      </c>
      <c r="C118" s="34"/>
      <c r="D118" s="34">
        <f>1582141.41+79854.76</f>
        <v>1661996.17</v>
      </c>
      <c r="E118" s="24" t="s">
        <v>692</v>
      </c>
    </row>
    <row r="119" spans="1:5" ht="30">
      <c r="A119" s="15" t="s">
        <v>74</v>
      </c>
      <c r="B119" s="34">
        <v>6731742.0700000003</v>
      </c>
      <c r="C119" s="34"/>
      <c r="D119" s="34">
        <f>5551046.65+318584.92</f>
        <v>5869631.5700000003</v>
      </c>
      <c r="E119" s="24" t="s">
        <v>692</v>
      </c>
    </row>
    <row r="120" spans="1:5" ht="30">
      <c r="A120" s="15" t="s">
        <v>691</v>
      </c>
      <c r="B120" s="34"/>
      <c r="C120" s="34"/>
      <c r="D120" s="34">
        <f>84701+47000</f>
        <v>131701</v>
      </c>
      <c r="E120" s="24" t="s">
        <v>692</v>
      </c>
    </row>
    <row r="121" spans="1:5">
      <c r="A121" s="11" t="s">
        <v>75</v>
      </c>
      <c r="B121" s="31">
        <v>987609.02</v>
      </c>
      <c r="C121" s="31"/>
      <c r="D121" s="31"/>
      <c r="E121" s="32"/>
    </row>
    <row r="122" spans="1:5" ht="30">
      <c r="A122" s="15" t="s">
        <v>76</v>
      </c>
      <c r="B122" s="34">
        <v>987609.02</v>
      </c>
      <c r="C122" s="34"/>
      <c r="D122" s="34"/>
      <c r="E122" s="24"/>
    </row>
    <row r="123" spans="1:5">
      <c r="A123" s="11" t="s">
        <v>77</v>
      </c>
      <c r="B123" s="31">
        <v>30437.119999999995</v>
      </c>
      <c r="C123" s="31"/>
      <c r="D123" s="31"/>
      <c r="E123" s="32"/>
    </row>
    <row r="124" spans="1:5">
      <c r="A124" s="15" t="s">
        <v>78</v>
      </c>
      <c r="B124" s="34">
        <v>30437.119999999995</v>
      </c>
      <c r="C124" s="34"/>
      <c r="D124" s="34"/>
      <c r="E124" s="24"/>
    </row>
    <row r="125" spans="1:5">
      <c r="A125" s="11" t="s">
        <v>79</v>
      </c>
      <c r="B125" s="31">
        <v>5733516.2199999997</v>
      </c>
      <c r="C125" s="31"/>
      <c r="D125" s="31"/>
      <c r="E125" s="32"/>
    </row>
    <row r="126" spans="1:5">
      <c r="A126" s="15" t="s">
        <v>80</v>
      </c>
      <c r="B126" s="34">
        <v>5733516.2199999997</v>
      </c>
      <c r="C126" s="34"/>
      <c r="D126" s="34"/>
      <c r="E126" s="24"/>
    </row>
    <row r="127" spans="1:5">
      <c r="A127" s="11" t="s">
        <v>81</v>
      </c>
      <c r="B127" s="31">
        <v>1046850.3500000001</v>
      </c>
      <c r="C127" s="31"/>
      <c r="D127" s="31"/>
      <c r="E127" s="32"/>
    </row>
    <row r="128" spans="1:5" ht="30">
      <c r="A128" s="15" t="s">
        <v>82</v>
      </c>
      <c r="B128" s="34">
        <v>1046850.3500000001</v>
      </c>
      <c r="C128" s="34"/>
      <c r="D128" s="34"/>
      <c r="E128" s="24"/>
    </row>
    <row r="129" spans="1:5">
      <c r="A129" s="11" t="s">
        <v>83</v>
      </c>
      <c r="B129" s="31">
        <v>1510036.5899999999</v>
      </c>
      <c r="C129" s="31"/>
      <c r="D129" s="31"/>
      <c r="E129" s="32"/>
    </row>
    <row r="130" spans="1:5" ht="30">
      <c r="A130" s="15" t="s">
        <v>84</v>
      </c>
      <c r="B130" s="34">
        <v>1510036.5899999999</v>
      </c>
      <c r="C130" s="34"/>
      <c r="D130" s="34"/>
      <c r="E130" s="24"/>
    </row>
    <row r="131" spans="1:5">
      <c r="A131" s="11" t="s">
        <v>85</v>
      </c>
      <c r="B131" s="31">
        <v>1440665.4500000011</v>
      </c>
      <c r="C131" s="31"/>
      <c r="D131" s="31"/>
      <c r="E131" s="32"/>
    </row>
    <row r="132" spans="1:5">
      <c r="A132" s="15" t="s">
        <v>86</v>
      </c>
      <c r="B132" s="34">
        <v>1440665.4500000011</v>
      </c>
      <c r="C132" s="34"/>
      <c r="D132" s="34"/>
      <c r="E132" s="24"/>
    </row>
    <row r="133" spans="1:5">
      <c r="A133" s="11" t="s">
        <v>87</v>
      </c>
      <c r="B133" s="31">
        <v>16627</v>
      </c>
      <c r="C133" s="31"/>
      <c r="D133" s="31"/>
      <c r="E133" s="32"/>
    </row>
    <row r="134" spans="1:5">
      <c r="A134" s="15" t="s">
        <v>88</v>
      </c>
      <c r="B134" s="34">
        <v>16627</v>
      </c>
      <c r="C134" s="34"/>
      <c r="D134" s="34"/>
      <c r="E134" s="24"/>
    </row>
    <row r="135" spans="1:5">
      <c r="A135" s="11" t="s">
        <v>89</v>
      </c>
      <c r="B135" s="31">
        <v>2969716.3800000008</v>
      </c>
      <c r="C135" s="36">
        <f>C136</f>
        <v>2944613.3</v>
      </c>
      <c r="D135" s="36"/>
      <c r="E135" s="37"/>
    </row>
    <row r="136" spans="1:5">
      <c r="A136" s="15" t="s">
        <v>90</v>
      </c>
      <c r="B136" s="34">
        <v>2969716.3800000008</v>
      </c>
      <c r="C136" s="34">
        <v>2944613.3</v>
      </c>
      <c r="D136" s="34"/>
      <c r="E136" s="24" t="s">
        <v>604</v>
      </c>
    </row>
    <row r="137" spans="1:5">
      <c r="A137" s="11" t="s">
        <v>91</v>
      </c>
      <c r="B137" s="31">
        <v>3510561.3400000012</v>
      </c>
      <c r="C137" s="31"/>
      <c r="D137" s="31"/>
      <c r="E137" s="32"/>
    </row>
    <row r="138" spans="1:5">
      <c r="A138" s="15" t="s">
        <v>92</v>
      </c>
      <c r="B138" s="34">
        <v>3389822.5200000014</v>
      </c>
      <c r="C138" s="34"/>
      <c r="D138" s="34"/>
      <c r="E138" s="24"/>
    </row>
    <row r="139" spans="1:5" ht="30">
      <c r="A139" s="15" t="s">
        <v>93</v>
      </c>
      <c r="B139" s="34">
        <v>120738.82</v>
      </c>
      <c r="C139" s="34"/>
      <c r="D139" s="34"/>
      <c r="E139" s="24"/>
    </row>
    <row r="140" spans="1:5">
      <c r="A140" s="11" t="s">
        <v>94</v>
      </c>
      <c r="B140" s="31">
        <v>4501442.16</v>
      </c>
      <c r="C140" s="31"/>
      <c r="D140" s="31"/>
      <c r="E140" s="32"/>
    </row>
    <row r="141" spans="1:5">
      <c r="A141" s="15" t="s">
        <v>95</v>
      </c>
      <c r="B141" s="34">
        <v>4501442.16</v>
      </c>
      <c r="C141" s="34"/>
      <c r="D141" s="34"/>
      <c r="E141" s="24"/>
    </row>
    <row r="142" spans="1:5">
      <c r="A142" s="11" t="s">
        <v>96</v>
      </c>
      <c r="B142" s="31">
        <v>935585.18000000017</v>
      </c>
      <c r="C142" s="31"/>
      <c r="D142" s="31"/>
      <c r="E142" s="32"/>
    </row>
    <row r="143" spans="1:5" ht="30">
      <c r="A143" s="15" t="s">
        <v>97</v>
      </c>
      <c r="B143" s="34">
        <v>935585.18000000017</v>
      </c>
      <c r="C143" s="34"/>
      <c r="D143" s="34"/>
      <c r="E143" s="24"/>
    </row>
    <row r="144" spans="1:5">
      <c r="A144" s="11" t="s">
        <v>98</v>
      </c>
      <c r="B144" s="31">
        <v>1991419.6500000004</v>
      </c>
      <c r="C144" s="31"/>
      <c r="D144" s="31">
        <f>D145</f>
        <v>1727030.92</v>
      </c>
      <c r="E144" s="22"/>
    </row>
    <row r="145" spans="1:5" ht="45">
      <c r="A145" s="15" t="s">
        <v>687</v>
      </c>
      <c r="B145" s="34">
        <v>1991419.6500000004</v>
      </c>
      <c r="C145" s="34"/>
      <c r="D145" s="34">
        <f>1663968.13+29640+29477.5+1947.29+1998</f>
        <v>1727030.92</v>
      </c>
      <c r="E145" s="24" t="s">
        <v>605</v>
      </c>
    </row>
    <row r="146" spans="1:5">
      <c r="A146" s="11" t="s">
        <v>99</v>
      </c>
      <c r="B146" s="31">
        <v>5208309.55</v>
      </c>
      <c r="C146" s="31"/>
      <c r="D146" s="31">
        <f t="shared" ref="D146" si="5">D147</f>
        <v>5208309.55</v>
      </c>
      <c r="E146" s="32"/>
    </row>
    <row r="147" spans="1:5">
      <c r="A147" s="15" t="s">
        <v>100</v>
      </c>
      <c r="B147" s="34">
        <v>5208309.55</v>
      </c>
      <c r="C147" s="34"/>
      <c r="D147" s="34">
        <v>5208309.55</v>
      </c>
      <c r="E147" s="24"/>
    </row>
    <row r="148" spans="1:5">
      <c r="A148" s="11" t="s">
        <v>101</v>
      </c>
      <c r="B148" s="31">
        <v>10883978.57</v>
      </c>
      <c r="C148" s="31"/>
      <c r="D148" s="31"/>
      <c r="E148" s="32"/>
    </row>
    <row r="149" spans="1:5" ht="30">
      <c r="A149" s="15" t="s">
        <v>102</v>
      </c>
      <c r="B149" s="34">
        <v>10883978.57</v>
      </c>
      <c r="C149" s="34"/>
      <c r="D149" s="34"/>
      <c r="E149" s="24"/>
    </row>
    <row r="150" spans="1:5">
      <c r="A150" s="11" t="s">
        <v>103</v>
      </c>
      <c r="B150" s="31">
        <f>SUM(B151:B154)</f>
        <v>11963663.230000002</v>
      </c>
      <c r="C150" s="31">
        <f t="shared" ref="C150:D150" si="6">SUM(C151:C154)</f>
        <v>8101763.0700000003</v>
      </c>
      <c r="D150" s="31">
        <f t="shared" si="6"/>
        <v>128164</v>
      </c>
      <c r="E150" s="32"/>
    </row>
    <row r="151" spans="1:5" ht="30">
      <c r="A151" s="15" t="s">
        <v>104</v>
      </c>
      <c r="B151" s="34">
        <v>2119244.6399999997</v>
      </c>
      <c r="C151" s="34">
        <f>1956379.82+17255.27</f>
        <v>1973635.09</v>
      </c>
      <c r="D151" s="34"/>
      <c r="E151" s="24" t="s">
        <v>606</v>
      </c>
    </row>
    <row r="152" spans="1:5" ht="30">
      <c r="A152" s="15" t="s">
        <v>105</v>
      </c>
      <c r="B152" s="34">
        <v>7235580.1900000013</v>
      </c>
      <c r="C152" s="34">
        <f>2736066+3185811.2+78086.78</f>
        <v>5999963.9800000004</v>
      </c>
      <c r="D152" s="34"/>
      <c r="E152" s="24" t="s">
        <v>606</v>
      </c>
    </row>
    <row r="153" spans="1:5" ht="30">
      <c r="A153" s="15" t="s">
        <v>106</v>
      </c>
      <c r="B153" s="34">
        <v>2608838.4</v>
      </c>
      <c r="C153" s="34"/>
      <c r="D153" s="34"/>
      <c r="E153" s="24"/>
    </row>
    <row r="154" spans="1:5" ht="45">
      <c r="A154" s="15" t="s">
        <v>607</v>
      </c>
      <c r="B154" s="34"/>
      <c r="C154" s="34">
        <v>128164</v>
      </c>
      <c r="D154" s="34">
        <v>128164</v>
      </c>
      <c r="E154" s="24" t="s">
        <v>608</v>
      </c>
    </row>
    <row r="155" spans="1:5">
      <c r="A155" s="11" t="s">
        <v>107</v>
      </c>
      <c r="B155" s="31">
        <v>9487357.4700000007</v>
      </c>
      <c r="C155" s="31"/>
      <c r="D155" s="31">
        <f t="shared" ref="D155" si="7">D156+D157+D158</f>
        <v>6968847.9400000004</v>
      </c>
      <c r="E155" s="22"/>
    </row>
    <row r="156" spans="1:5" ht="30">
      <c r="A156" s="15" t="s">
        <v>108</v>
      </c>
      <c r="B156" s="34">
        <v>6968847.9400000004</v>
      </c>
      <c r="C156" s="34"/>
      <c r="D156" s="34">
        <v>6968847.9400000004</v>
      </c>
      <c r="E156" s="24" t="s">
        <v>609</v>
      </c>
    </row>
    <row r="157" spans="1:5" ht="30">
      <c r="A157" s="15" t="s">
        <v>109</v>
      </c>
      <c r="B157" s="34">
        <v>837000</v>
      </c>
      <c r="C157" s="34"/>
      <c r="D157" s="34"/>
      <c r="E157" s="24"/>
    </row>
    <row r="158" spans="1:5">
      <c r="A158" s="15" t="s">
        <v>110</v>
      </c>
      <c r="B158" s="34">
        <v>1681509.53</v>
      </c>
      <c r="C158" s="34">
        <f>1751407.92+3948.28</f>
        <v>1755356.2</v>
      </c>
      <c r="D158" s="34"/>
      <c r="E158" s="24" t="s">
        <v>678</v>
      </c>
    </row>
    <row r="159" spans="1:5">
      <c r="A159" s="11" t="s">
        <v>111</v>
      </c>
      <c r="B159" s="31">
        <v>9364461.1099999994</v>
      </c>
      <c r="C159" s="31"/>
      <c r="D159" s="31">
        <f>SUM(D160:D162)</f>
        <v>7892812.3799999999</v>
      </c>
      <c r="E159" s="32"/>
    </row>
    <row r="160" spans="1:5" ht="30">
      <c r="A160" s="65" t="s">
        <v>720</v>
      </c>
      <c r="B160" s="34">
        <v>3199404.75</v>
      </c>
      <c r="C160" s="34"/>
      <c r="D160" s="34">
        <f>3965308.61+408531.38</f>
        <v>4373839.99</v>
      </c>
      <c r="E160" s="24" t="s">
        <v>683</v>
      </c>
    </row>
    <row r="161" spans="1:5" ht="30">
      <c r="A161" s="65" t="s">
        <v>721</v>
      </c>
      <c r="B161" s="34">
        <v>6165056.3600000003</v>
      </c>
      <c r="C161" s="34"/>
      <c r="D161" s="34">
        <f>3130142.34+327283.28</f>
        <v>3457425.62</v>
      </c>
      <c r="E161" s="24" t="s">
        <v>683</v>
      </c>
    </row>
    <row r="162" spans="1:5" ht="30">
      <c r="A162" s="65" t="s">
        <v>684</v>
      </c>
      <c r="B162" s="34"/>
      <c r="C162" s="34"/>
      <c r="D162" s="34">
        <v>61546.77</v>
      </c>
      <c r="E162" s="24" t="s">
        <v>683</v>
      </c>
    </row>
    <row r="163" spans="1:5">
      <c r="A163" s="11" t="s">
        <v>112</v>
      </c>
      <c r="B163" s="31">
        <v>6493809.2799999993</v>
      </c>
      <c r="C163" s="31"/>
      <c r="D163" s="31"/>
      <c r="E163" s="32"/>
    </row>
    <row r="164" spans="1:5" ht="30">
      <c r="A164" s="15" t="s">
        <v>113</v>
      </c>
      <c r="B164" s="34">
        <v>4852233.6499999994</v>
      </c>
      <c r="C164" s="34"/>
      <c r="D164" s="34"/>
      <c r="E164" s="24"/>
    </row>
    <row r="165" spans="1:5" ht="30">
      <c r="A165" s="15" t="s">
        <v>114</v>
      </c>
      <c r="B165" s="34">
        <v>1641575.63</v>
      </c>
      <c r="C165" s="34"/>
      <c r="D165" s="34"/>
      <c r="E165" s="24"/>
    </row>
    <row r="166" spans="1:5">
      <c r="A166" s="11" t="s">
        <v>115</v>
      </c>
      <c r="B166" s="31">
        <v>39466551.309999995</v>
      </c>
      <c r="C166" s="31"/>
      <c r="D166" s="31"/>
      <c r="E166" s="32"/>
    </row>
    <row r="167" spans="1:5" ht="30">
      <c r="A167" s="15" t="s">
        <v>116</v>
      </c>
      <c r="B167" s="34">
        <v>39466551.309999995</v>
      </c>
      <c r="C167" s="34"/>
      <c r="D167" s="34"/>
      <c r="E167" s="24"/>
    </row>
    <row r="168" spans="1:5">
      <c r="A168" s="11" t="s">
        <v>117</v>
      </c>
      <c r="B168" s="31">
        <v>6468662.5000000009</v>
      </c>
      <c r="C168" s="31"/>
      <c r="D168" s="31"/>
      <c r="E168" s="32"/>
    </row>
    <row r="169" spans="1:5" ht="30">
      <c r="A169" s="15" t="s">
        <v>118</v>
      </c>
      <c r="B169" s="34">
        <v>6468662.5000000009</v>
      </c>
      <c r="C169" s="34"/>
      <c r="D169" s="34"/>
      <c r="E169" s="24"/>
    </row>
    <row r="170" spans="1:5">
      <c r="A170" s="11" t="s">
        <v>119</v>
      </c>
      <c r="B170" s="31">
        <v>406023.84</v>
      </c>
      <c r="C170" s="36">
        <f t="shared" ref="C170:D170" si="8">C171</f>
        <v>406023.84</v>
      </c>
      <c r="D170" s="36">
        <f t="shared" si="8"/>
        <v>0</v>
      </c>
      <c r="E170" s="62"/>
    </row>
    <row r="171" spans="1:5" ht="30">
      <c r="A171" s="15" t="s">
        <v>120</v>
      </c>
      <c r="B171" s="34">
        <v>406023.84</v>
      </c>
      <c r="C171" s="34">
        <v>406023.84</v>
      </c>
      <c r="D171" s="34"/>
      <c r="E171" s="24" t="s">
        <v>610</v>
      </c>
    </row>
    <row r="172" spans="1:5">
      <c r="A172" s="11" t="s">
        <v>121</v>
      </c>
      <c r="B172" s="31">
        <v>447770.7200000002</v>
      </c>
      <c r="C172" s="31"/>
      <c r="D172" s="31"/>
      <c r="E172" s="32"/>
    </row>
    <row r="173" spans="1:5" ht="30" hidden="1">
      <c r="A173" s="15" t="s">
        <v>122</v>
      </c>
      <c r="B173" s="34">
        <v>-609753.2799999998</v>
      </c>
      <c r="C173" s="34"/>
      <c r="D173" s="34"/>
      <c r="E173" s="24"/>
    </row>
    <row r="174" spans="1:5" ht="30" hidden="1">
      <c r="A174" s="15" t="s">
        <v>123</v>
      </c>
      <c r="B174" s="34">
        <v>1057524</v>
      </c>
      <c r="C174" s="34"/>
      <c r="D174" s="34"/>
      <c r="E174" s="24"/>
    </row>
    <row r="175" spans="1:5">
      <c r="A175" s="11" t="s">
        <v>124</v>
      </c>
      <c r="B175" s="31">
        <f>SUM(B176:B180)</f>
        <v>7827633.0800000038</v>
      </c>
      <c r="C175" s="31">
        <f t="shared" ref="C175" si="9">SUM(C176:C180)</f>
        <v>86730</v>
      </c>
      <c r="D175" s="31">
        <f>SUM(D176:D181)</f>
        <v>6959004.3499999996</v>
      </c>
      <c r="E175" s="32"/>
    </row>
    <row r="176" spans="1:5" ht="30">
      <c r="A176" s="15" t="s">
        <v>125</v>
      </c>
      <c r="B176" s="34">
        <v>2861014.0200000033</v>
      </c>
      <c r="C176" s="34"/>
      <c r="D176" s="34">
        <v>110754.8</v>
      </c>
      <c r="E176" s="25" t="s">
        <v>612</v>
      </c>
    </row>
    <row r="177" spans="1:5" ht="30">
      <c r="A177" s="15" t="s">
        <v>126</v>
      </c>
      <c r="B177" s="34">
        <v>2464117.17</v>
      </c>
      <c r="C177" s="34"/>
      <c r="D177" s="34">
        <v>3989568.11</v>
      </c>
      <c r="E177" s="25" t="s">
        <v>612</v>
      </c>
    </row>
    <row r="178" spans="1:5" ht="30">
      <c r="A178" s="15" t="s">
        <v>127</v>
      </c>
      <c r="B178" s="34">
        <v>2222723.8900000006</v>
      </c>
      <c r="C178" s="34"/>
      <c r="D178" s="34">
        <v>2159383.39</v>
      </c>
      <c r="E178" s="25" t="s">
        <v>612</v>
      </c>
    </row>
    <row r="179" spans="1:5" ht="45">
      <c r="A179" s="15" t="s">
        <v>128</v>
      </c>
      <c r="B179" s="34">
        <v>279778</v>
      </c>
      <c r="C179" s="34">
        <v>86730</v>
      </c>
      <c r="D179" s="34">
        <v>86730</v>
      </c>
      <c r="E179" s="24" t="s">
        <v>613</v>
      </c>
    </row>
    <row r="180" spans="1:5" ht="30">
      <c r="A180" s="15" t="s">
        <v>611</v>
      </c>
      <c r="B180" s="34"/>
      <c r="C180" s="34"/>
      <c r="D180" s="34">
        <v>54299</v>
      </c>
      <c r="E180" s="25" t="s">
        <v>612</v>
      </c>
    </row>
    <row r="181" spans="1:5" ht="30">
      <c r="A181" s="15" t="s">
        <v>688</v>
      </c>
      <c r="B181" s="34"/>
      <c r="C181" s="34"/>
      <c r="D181" s="34">
        <f>544381.05+13888</f>
        <v>558269.05000000005</v>
      </c>
      <c r="E181" s="25" t="s">
        <v>689</v>
      </c>
    </row>
    <row r="182" spans="1:5">
      <c r="A182" s="11" t="s">
        <v>129</v>
      </c>
      <c r="B182" s="31">
        <v>876426.44</v>
      </c>
      <c r="C182" s="31"/>
      <c r="D182" s="31"/>
      <c r="E182" s="32"/>
    </row>
    <row r="183" spans="1:5">
      <c r="A183" s="15" t="s">
        <v>130</v>
      </c>
      <c r="B183" s="34">
        <v>876426.44</v>
      </c>
      <c r="C183" s="34"/>
      <c r="D183" s="34"/>
      <c r="E183" s="24"/>
    </row>
    <row r="184" spans="1:5">
      <c r="A184" s="11" t="s">
        <v>131</v>
      </c>
      <c r="B184" s="31">
        <v>100076819.86</v>
      </c>
      <c r="C184" s="31"/>
      <c r="D184" s="31"/>
      <c r="E184" s="32"/>
    </row>
    <row r="185" spans="1:5" ht="30">
      <c r="A185" s="15" t="s">
        <v>132</v>
      </c>
      <c r="B185" s="34">
        <v>26467986.239999995</v>
      </c>
      <c r="C185" s="34"/>
      <c r="D185" s="34"/>
      <c r="E185" s="24"/>
    </row>
    <row r="186" spans="1:5">
      <c r="A186" s="15" t="s">
        <v>133</v>
      </c>
      <c r="B186" s="34">
        <v>73608833.620000005</v>
      </c>
      <c r="C186" s="34"/>
      <c r="D186" s="34"/>
      <c r="E186" s="24"/>
    </row>
    <row r="187" spans="1:5">
      <c r="A187" s="11" t="s">
        <v>134</v>
      </c>
      <c r="B187" s="31">
        <v>3481.02</v>
      </c>
      <c r="C187" s="31"/>
      <c r="D187" s="31"/>
      <c r="E187" s="32"/>
    </row>
    <row r="188" spans="1:5">
      <c r="A188" s="15" t="s">
        <v>135</v>
      </c>
      <c r="B188" s="34">
        <v>3481.02</v>
      </c>
      <c r="C188" s="34"/>
      <c r="D188" s="34"/>
      <c r="E188" s="24"/>
    </row>
    <row r="189" spans="1:5">
      <c r="A189" s="11" t="s">
        <v>136</v>
      </c>
      <c r="B189" s="31">
        <v>778569.42999999993</v>
      </c>
      <c r="C189" s="31"/>
      <c r="D189" s="31"/>
      <c r="E189" s="32"/>
    </row>
    <row r="190" spans="1:5" ht="30">
      <c r="A190" s="15" t="s">
        <v>137</v>
      </c>
      <c r="B190" s="34">
        <v>778569.42999999993</v>
      </c>
      <c r="C190" s="34"/>
      <c r="D190" s="34"/>
      <c r="E190" s="24"/>
    </row>
    <row r="191" spans="1:5">
      <c r="A191" s="11" t="s">
        <v>138</v>
      </c>
      <c r="B191" s="31">
        <f>SUM(B192:B193)</f>
        <v>272615.3599999994</v>
      </c>
      <c r="C191" s="31">
        <f t="shared" ref="C191:D191" si="10">SUM(C192:C193)</f>
        <v>0</v>
      </c>
      <c r="D191" s="31">
        <f t="shared" si="10"/>
        <v>200000</v>
      </c>
      <c r="E191" s="32"/>
    </row>
    <row r="192" spans="1:5" ht="30">
      <c r="A192" s="15" t="s">
        <v>614</v>
      </c>
      <c r="B192" s="34">
        <v>200000</v>
      </c>
      <c r="C192" s="34"/>
      <c r="D192" s="34">
        <v>200000</v>
      </c>
      <c r="E192" s="24"/>
    </row>
    <row r="193" spans="1:5" ht="30">
      <c r="A193" s="15" t="s">
        <v>139</v>
      </c>
      <c r="B193" s="34">
        <v>72615.359999999404</v>
      </c>
      <c r="C193" s="34"/>
      <c r="D193" s="34"/>
      <c r="E193" s="24"/>
    </row>
    <row r="194" spans="1:5">
      <c r="A194" s="11" t="s">
        <v>140</v>
      </c>
      <c r="B194" s="31">
        <v>10585564.210000001</v>
      </c>
      <c r="C194" s="31">
        <f>C195+C196</f>
        <v>15062970.58</v>
      </c>
      <c r="D194" s="31"/>
      <c r="E194" s="32"/>
    </row>
    <row r="195" spans="1:5" s="79" customFormat="1" ht="30">
      <c r="A195" s="15" t="s">
        <v>141</v>
      </c>
      <c r="B195" s="34">
        <v>8683004.9100000001</v>
      </c>
      <c r="C195" s="34">
        <v>12637513.01</v>
      </c>
      <c r="D195" s="34"/>
      <c r="E195" s="24" t="s">
        <v>761</v>
      </c>
    </row>
    <row r="196" spans="1:5" s="79" customFormat="1" ht="30">
      <c r="A196" s="15" t="s">
        <v>142</v>
      </c>
      <c r="B196" s="34">
        <v>2419499.12</v>
      </c>
      <c r="C196" s="34">
        <v>2425457.5699999998</v>
      </c>
      <c r="D196" s="34"/>
      <c r="E196" s="24" t="str">
        <f>E195</f>
        <v>Претензия 19-1160 от 17.08.2017</v>
      </c>
    </row>
    <row r="197" spans="1:5">
      <c r="A197" s="11" t="s">
        <v>143</v>
      </c>
      <c r="B197" s="31">
        <v>15714113.08</v>
      </c>
      <c r="C197" s="31"/>
      <c r="D197" s="31"/>
      <c r="E197" s="32"/>
    </row>
    <row r="198" spans="1:5" ht="30">
      <c r="A198" s="15" t="s">
        <v>144</v>
      </c>
      <c r="B198" s="34">
        <v>10421774.83</v>
      </c>
      <c r="C198" s="34"/>
      <c r="D198" s="34"/>
      <c r="E198" s="24"/>
    </row>
    <row r="199" spans="1:5">
      <c r="A199" s="15" t="s">
        <v>145</v>
      </c>
      <c r="B199" s="34">
        <v>5292338.25</v>
      </c>
      <c r="C199" s="34"/>
      <c r="D199" s="34"/>
      <c r="E199" s="24"/>
    </row>
    <row r="200" spans="1:5">
      <c r="A200" s="13" t="s">
        <v>20</v>
      </c>
      <c r="B200" s="41">
        <f>B201+B203+B205+B208+B236+B238+B240+B242+B244+B246+B248+B250+B252+B254+B256+B258+B260+B262+B264+B267+B269+B271+B273+B275+B277+B279+B281+B283</f>
        <v>239700346.73000002</v>
      </c>
      <c r="C200" s="41">
        <f>C201+C203+C205+C208+C236+C238+C240+C242+C244+C246+C248+C250+C252+C254+C256+C258+C260+C262+C264+C267+C269+C271+C273+C275+C277+C279+C281+C283</f>
        <v>227760157.19999996</v>
      </c>
      <c r="D200" s="41">
        <f>D201+D203+D205+D208+D236+D238+D240+D242+D244+D246+D248+D250+D252+D254+D256+D258+D260+D262+D264+D267+D269+D271+D273+D275+D277+D279+D281+D283</f>
        <v>83858961.230000004</v>
      </c>
      <c r="E200" s="10"/>
    </row>
    <row r="201" spans="1:5">
      <c r="A201" s="11" t="s">
        <v>146</v>
      </c>
      <c r="B201" s="31">
        <v>162932.66</v>
      </c>
      <c r="C201" s="31"/>
      <c r="D201" s="31"/>
      <c r="E201" s="32"/>
    </row>
    <row r="202" spans="1:5" ht="30">
      <c r="A202" s="15" t="s">
        <v>147</v>
      </c>
      <c r="B202" s="34">
        <v>162932.66</v>
      </c>
      <c r="C202" s="34"/>
      <c r="D202" s="34"/>
      <c r="E202" s="24"/>
    </row>
    <row r="203" spans="1:5">
      <c r="A203" s="11" t="s">
        <v>148</v>
      </c>
      <c r="B203" s="31">
        <v>10787</v>
      </c>
      <c r="C203" s="31"/>
      <c r="D203" s="31"/>
      <c r="E203" s="32"/>
    </row>
    <row r="204" spans="1:5">
      <c r="A204" s="15" t="s">
        <v>149</v>
      </c>
      <c r="B204" s="34">
        <v>10787</v>
      </c>
      <c r="C204" s="34"/>
      <c r="D204" s="34"/>
      <c r="E204" s="24"/>
    </row>
    <row r="205" spans="1:5">
      <c r="A205" s="11" t="s">
        <v>150</v>
      </c>
      <c r="B205" s="31">
        <v>173387.92000000004</v>
      </c>
      <c r="C205" s="31"/>
      <c r="D205" s="31"/>
      <c r="E205" s="32"/>
    </row>
    <row r="206" spans="1:5">
      <c r="A206" s="15" t="s">
        <v>151</v>
      </c>
      <c r="B206" s="34">
        <v>171990.52000000002</v>
      </c>
      <c r="C206" s="34"/>
      <c r="D206" s="34"/>
      <c r="E206" s="24"/>
    </row>
    <row r="207" spans="1:5">
      <c r="A207" s="15" t="s">
        <v>152</v>
      </c>
      <c r="B207" s="34">
        <v>1397.4000000000233</v>
      </c>
      <c r="C207" s="34"/>
      <c r="D207" s="34"/>
      <c r="E207" s="24"/>
    </row>
    <row r="208" spans="1:5">
      <c r="A208" s="11" t="s">
        <v>153</v>
      </c>
      <c r="B208" s="31">
        <f>SUM(B209:B235)</f>
        <v>167439814.13</v>
      </c>
      <c r="C208" s="31">
        <f>SUM(C209:C235)</f>
        <v>169821591.81999996</v>
      </c>
      <c r="D208" s="31">
        <f>SUM(D209:D235)</f>
        <v>16772737.359999999</v>
      </c>
      <c r="E208" s="32"/>
    </row>
    <row r="209" spans="1:5" ht="150">
      <c r="A209" s="15" t="s">
        <v>154</v>
      </c>
      <c r="B209" s="34">
        <f>298857.75+3303.23+2331</f>
        <v>304491.98</v>
      </c>
      <c r="C209" s="34">
        <f>44423.69+517.58+153883.8+5620.34+50988.32+3128.15+3993.12+175.08</f>
        <v>262730.08</v>
      </c>
      <c r="D209" s="34">
        <f>54981.44+3303.23+2331</f>
        <v>60615.670000000006</v>
      </c>
      <c r="E209" s="35" t="s">
        <v>730</v>
      </c>
    </row>
    <row r="210" spans="1:5" ht="45">
      <c r="A210" s="15" t="s">
        <v>155</v>
      </c>
      <c r="B210" s="34">
        <v>12177556.960000001</v>
      </c>
      <c r="C210" s="34">
        <f>12177556.96+459899.42</f>
        <v>12637456.380000001</v>
      </c>
      <c r="D210" s="34"/>
      <c r="E210" s="35" t="s">
        <v>731</v>
      </c>
    </row>
    <row r="211" spans="1:5" ht="75">
      <c r="A211" s="15" t="s">
        <v>156</v>
      </c>
      <c r="B211" s="34">
        <v>6931277.5199999996</v>
      </c>
      <c r="C211" s="34">
        <f>6685046.92+75346.1+246230.6</f>
        <v>7006623.6199999992</v>
      </c>
      <c r="D211" s="34"/>
      <c r="E211" s="35" t="s">
        <v>732</v>
      </c>
    </row>
    <row r="212" spans="1:5" ht="45">
      <c r="A212" s="15" t="s">
        <v>157</v>
      </c>
      <c r="B212" s="34">
        <v>3053274.37</v>
      </c>
      <c r="C212" s="34">
        <v>3118747.6</v>
      </c>
      <c r="D212" s="34"/>
      <c r="E212" s="35" t="s">
        <v>733</v>
      </c>
    </row>
    <row r="213" spans="1:5" ht="45">
      <c r="A213" s="15" t="s">
        <v>158</v>
      </c>
      <c r="B213" s="34">
        <v>265733.98</v>
      </c>
      <c r="C213" s="34">
        <f>265733.98+4783.21</f>
        <v>270517.19</v>
      </c>
      <c r="D213" s="34"/>
      <c r="E213" s="35" t="s">
        <v>734</v>
      </c>
    </row>
    <row r="214" spans="1:5" ht="45">
      <c r="A214" s="15" t="s">
        <v>159</v>
      </c>
      <c r="B214" s="34">
        <v>19427325.379999999</v>
      </c>
      <c r="C214" s="34">
        <f>19427325.38+301123.54</f>
        <v>19728448.919999998</v>
      </c>
      <c r="D214" s="34"/>
      <c r="E214" s="35" t="s">
        <v>735</v>
      </c>
    </row>
    <row r="215" spans="1:5" ht="45">
      <c r="A215" s="15" t="s">
        <v>160</v>
      </c>
      <c r="B215" s="34">
        <v>19661746.780000001</v>
      </c>
      <c r="C215" s="34">
        <f>19661746.78+501374.54</f>
        <v>20163121.32</v>
      </c>
      <c r="D215" s="34"/>
      <c r="E215" s="35" t="s">
        <v>736</v>
      </c>
    </row>
    <row r="216" spans="1:5" ht="75">
      <c r="A216" s="15" t="s">
        <v>161</v>
      </c>
      <c r="B216" s="34">
        <v>8070940.8899999997</v>
      </c>
      <c r="C216" s="34">
        <f>6700558.98+140521.44+1370381.91</f>
        <v>8211462.330000001</v>
      </c>
      <c r="D216" s="34"/>
      <c r="E216" s="35" t="s">
        <v>737</v>
      </c>
    </row>
    <row r="217" spans="1:5" ht="45">
      <c r="A217" s="15" t="s">
        <v>162</v>
      </c>
      <c r="B217" s="34">
        <v>6597487.0599999996</v>
      </c>
      <c r="C217" s="34">
        <f>6597487.06+131949.74</f>
        <v>6729436.7999999998</v>
      </c>
      <c r="D217" s="34"/>
      <c r="E217" s="35" t="s">
        <v>738</v>
      </c>
    </row>
    <row r="218" spans="1:5" ht="45">
      <c r="A218" s="15" t="s">
        <v>163</v>
      </c>
      <c r="B218" s="34">
        <v>990950.56</v>
      </c>
      <c r="C218" s="34">
        <f>990950.56+35674.22</f>
        <v>1026624.78</v>
      </c>
      <c r="D218" s="34"/>
      <c r="E218" s="35" t="s">
        <v>739</v>
      </c>
    </row>
    <row r="219" spans="1:5" ht="45">
      <c r="A219" s="15" t="s">
        <v>164</v>
      </c>
      <c r="B219" s="34">
        <v>12073764.119999999</v>
      </c>
      <c r="C219" s="34">
        <f>12073764.12+138848.29</f>
        <v>12212612.409999998</v>
      </c>
      <c r="D219" s="34"/>
      <c r="E219" s="35" t="s">
        <v>740</v>
      </c>
    </row>
    <row r="220" spans="1:5" ht="45">
      <c r="A220" s="15" t="s">
        <v>165</v>
      </c>
      <c r="B220" s="34">
        <v>6585428.6699999999</v>
      </c>
      <c r="C220" s="34">
        <f>6585428.67+52959.83</f>
        <v>6638388.5</v>
      </c>
      <c r="D220" s="34"/>
      <c r="E220" s="35" t="s">
        <v>741</v>
      </c>
    </row>
    <row r="221" spans="1:5" ht="45">
      <c r="A221" s="15" t="s">
        <v>166</v>
      </c>
      <c r="B221" s="34">
        <v>20012553.989999998</v>
      </c>
      <c r="C221" s="34">
        <f>20012553.99+70043.94</f>
        <v>20082597.93</v>
      </c>
      <c r="D221" s="34"/>
      <c r="E221" s="35" t="s">
        <v>742</v>
      </c>
    </row>
    <row r="222" spans="1:5" ht="45">
      <c r="A222" s="15" t="s">
        <v>167</v>
      </c>
      <c r="B222" s="34">
        <v>251857.04</v>
      </c>
      <c r="C222" s="34">
        <v>251857.04</v>
      </c>
      <c r="D222" s="34"/>
      <c r="E222" s="35" t="s">
        <v>743</v>
      </c>
    </row>
    <row r="223" spans="1:5" ht="45">
      <c r="A223" s="15" t="s">
        <v>168</v>
      </c>
      <c r="B223" s="34">
        <v>1837378</v>
      </c>
      <c r="C223" s="34">
        <v>1837378</v>
      </c>
      <c r="D223" s="34"/>
      <c r="E223" s="35" t="s">
        <v>744</v>
      </c>
    </row>
    <row r="224" spans="1:5" ht="45">
      <c r="A224" s="15" t="s">
        <v>169</v>
      </c>
      <c r="B224" s="34">
        <v>20021781.48</v>
      </c>
      <c r="C224" s="34">
        <f>20021781.48+140808.38</f>
        <v>20162589.859999999</v>
      </c>
      <c r="D224" s="34"/>
      <c r="E224" s="35" t="s">
        <v>745</v>
      </c>
    </row>
    <row r="225" spans="1:5" ht="45">
      <c r="A225" s="15" t="s">
        <v>170</v>
      </c>
      <c r="B225" s="34">
        <v>1130817.6000000001</v>
      </c>
      <c r="C225" s="34">
        <f>1130817.6+5088.68</f>
        <v>1135906.28</v>
      </c>
      <c r="D225" s="34"/>
      <c r="E225" s="35" t="s">
        <v>746</v>
      </c>
    </row>
    <row r="226" spans="1:5" ht="45">
      <c r="A226" s="15" t="s">
        <v>171</v>
      </c>
      <c r="B226" s="34">
        <v>8615026.8100000005</v>
      </c>
      <c r="C226" s="34">
        <f>8615026.81+57681.69</f>
        <v>8672708.5</v>
      </c>
      <c r="D226" s="34"/>
      <c r="E226" s="35" t="s">
        <v>747</v>
      </c>
    </row>
    <row r="227" spans="1:5" ht="45">
      <c r="A227" s="15" t="s">
        <v>172</v>
      </c>
      <c r="B227" s="34">
        <v>539576.24</v>
      </c>
      <c r="C227" s="34">
        <f>539576.24+9442.58</f>
        <v>549018.81999999995</v>
      </c>
      <c r="D227" s="34"/>
      <c r="E227" s="35" t="s">
        <v>748</v>
      </c>
    </row>
    <row r="228" spans="1:5" ht="75">
      <c r="A228" s="15" t="s">
        <v>173</v>
      </c>
      <c r="B228" s="34">
        <v>16335289.539999999</v>
      </c>
      <c r="C228" s="34">
        <f>16335289.54+156818.78</f>
        <v>16492108.319999998</v>
      </c>
      <c r="D228" s="34">
        <f>16492108.32+105461</f>
        <v>16597569.32</v>
      </c>
      <c r="E228" s="35" t="s">
        <v>762</v>
      </c>
    </row>
    <row r="229" spans="1:5" ht="45">
      <c r="A229" s="15" t="s">
        <v>174</v>
      </c>
      <c r="B229" s="34">
        <v>481105.71</v>
      </c>
      <c r="C229" s="34">
        <v>489284.51</v>
      </c>
      <c r="D229" s="34"/>
      <c r="E229" s="35" t="s">
        <v>749</v>
      </c>
    </row>
    <row r="230" spans="1:5" ht="75">
      <c r="A230" s="15" t="s">
        <v>175</v>
      </c>
      <c r="B230" s="34">
        <v>856991.51</v>
      </c>
      <c r="C230" s="34">
        <f>724218.18+29268.46+132773.33+3210.7</f>
        <v>889470.66999999993</v>
      </c>
      <c r="D230" s="34"/>
      <c r="E230" s="35" t="s">
        <v>750</v>
      </c>
    </row>
    <row r="231" spans="1:5" ht="30">
      <c r="A231" s="15" t="s">
        <v>176</v>
      </c>
      <c r="B231" s="34">
        <v>39604.15</v>
      </c>
      <c r="C231" s="34">
        <f>39604.15+8673.31</f>
        <v>48277.46</v>
      </c>
      <c r="D231" s="34"/>
      <c r="E231" s="35" t="s">
        <v>714</v>
      </c>
    </row>
    <row r="232" spans="1:5" ht="45">
      <c r="A232" s="15" t="s">
        <v>177</v>
      </c>
      <c r="B232" s="34">
        <v>26820</v>
      </c>
      <c r="C232" s="34">
        <f>26820+2996.51</f>
        <v>29816.510000000002</v>
      </c>
      <c r="D232" s="34"/>
      <c r="E232" s="35" t="s">
        <v>751</v>
      </c>
    </row>
    <row r="233" spans="1:5" ht="45">
      <c r="A233" s="15" t="s">
        <v>178</v>
      </c>
      <c r="B233" s="34">
        <v>1030044.42</v>
      </c>
      <c r="C233" s="34">
        <v>1057855.6200000001</v>
      </c>
      <c r="D233" s="34"/>
      <c r="E233" s="35" t="s">
        <v>752</v>
      </c>
    </row>
    <row r="234" spans="1:5" ht="90">
      <c r="A234" s="15" t="s">
        <v>179</v>
      </c>
      <c r="B234" s="34">
        <f>114552.37+4437</f>
        <v>118989.37</v>
      </c>
      <c r="C234" s="34">
        <v>114552.37</v>
      </c>
      <c r="D234" s="34">
        <f>C234</f>
        <v>114552.37</v>
      </c>
      <c r="E234" s="35" t="s">
        <v>753</v>
      </c>
    </row>
    <row r="235" spans="1:5" ht="30">
      <c r="A235" s="15" t="s">
        <v>615</v>
      </c>
      <c r="B235" s="34">
        <v>2000</v>
      </c>
      <c r="C235" s="34">
        <v>2000</v>
      </c>
      <c r="D235" s="34"/>
      <c r="E235" s="35" t="s">
        <v>599</v>
      </c>
    </row>
    <row r="236" spans="1:5">
      <c r="A236" s="11" t="s">
        <v>180</v>
      </c>
      <c r="B236" s="31">
        <v>5160.01</v>
      </c>
      <c r="C236" s="31"/>
      <c r="D236" s="31"/>
      <c r="E236" s="32"/>
    </row>
    <row r="237" spans="1:5">
      <c r="A237" s="15" t="s">
        <v>181</v>
      </c>
      <c r="B237" s="34">
        <v>5160.01</v>
      </c>
      <c r="C237" s="34"/>
      <c r="D237" s="34"/>
      <c r="E237" s="24"/>
    </row>
    <row r="238" spans="1:5">
      <c r="A238" s="11" t="s">
        <v>182</v>
      </c>
      <c r="B238" s="31">
        <v>89172.65</v>
      </c>
      <c r="C238" s="31"/>
      <c r="D238" s="31"/>
      <c r="E238" s="32"/>
    </row>
    <row r="239" spans="1:5" ht="30">
      <c r="A239" s="15" t="s">
        <v>183</v>
      </c>
      <c r="B239" s="34">
        <v>89172.65</v>
      </c>
      <c r="C239" s="34"/>
      <c r="D239" s="34"/>
      <c r="E239" s="24"/>
    </row>
    <row r="240" spans="1:5">
      <c r="A240" s="11" t="s">
        <v>184</v>
      </c>
      <c r="B240" s="31">
        <v>976353.11</v>
      </c>
      <c r="C240" s="31"/>
      <c r="D240" s="31">
        <f t="shared" ref="D240" si="11">D241</f>
        <v>976353.11</v>
      </c>
      <c r="E240" s="32"/>
    </row>
    <row r="241" spans="1:5" ht="45">
      <c r="A241" s="15" t="s">
        <v>185</v>
      </c>
      <c r="B241" s="34">
        <v>976353.11</v>
      </c>
      <c r="C241" s="34"/>
      <c r="D241" s="34">
        <v>976353.11</v>
      </c>
      <c r="E241" s="24" t="s">
        <v>616</v>
      </c>
    </row>
    <row r="242" spans="1:5">
      <c r="A242" s="11" t="s">
        <v>186</v>
      </c>
      <c r="B242" s="31">
        <v>20946.689999999999</v>
      </c>
      <c r="C242" s="31"/>
      <c r="D242" s="31"/>
      <c r="E242" s="32"/>
    </row>
    <row r="243" spans="1:5" ht="30">
      <c r="A243" s="15" t="s">
        <v>187</v>
      </c>
      <c r="B243" s="34">
        <v>20946.689999999999</v>
      </c>
      <c r="C243" s="34"/>
      <c r="D243" s="34"/>
      <c r="E243" s="24"/>
    </row>
    <row r="244" spans="1:5">
      <c r="A244" s="11" t="s">
        <v>188</v>
      </c>
      <c r="B244" s="31">
        <v>9704</v>
      </c>
      <c r="C244" s="31"/>
      <c r="D244" s="31"/>
      <c r="E244" s="32"/>
    </row>
    <row r="245" spans="1:5" ht="30">
      <c r="A245" s="15" t="s">
        <v>189</v>
      </c>
      <c r="B245" s="34">
        <v>9704</v>
      </c>
      <c r="C245" s="34"/>
      <c r="D245" s="34"/>
      <c r="E245" s="24"/>
    </row>
    <row r="246" spans="1:5" ht="28.5">
      <c r="A246" s="11" t="s">
        <v>712</v>
      </c>
      <c r="B246" s="31">
        <v>31967990.380000003</v>
      </c>
      <c r="C246" s="31">
        <f t="shared" ref="C246:D246" si="12">C247</f>
        <v>31967990.380000003</v>
      </c>
      <c r="D246" s="31">
        <f t="shared" si="12"/>
        <v>31967990.380000003</v>
      </c>
      <c r="E246" s="32" t="s">
        <v>713</v>
      </c>
    </row>
    <row r="247" spans="1:5" ht="45">
      <c r="A247" s="15" t="s">
        <v>190</v>
      </c>
      <c r="B247" s="34">
        <v>31967990.380000003</v>
      </c>
      <c r="C247" s="34">
        <f>30452746.8+1333313.58+181930</f>
        <v>31967990.380000003</v>
      </c>
      <c r="D247" s="34">
        <f>30452746.8+1333313.58+181930</f>
        <v>31967990.380000003</v>
      </c>
      <c r="E247" s="24" t="s">
        <v>617</v>
      </c>
    </row>
    <row r="248" spans="1:5">
      <c r="A248" s="11" t="s">
        <v>191</v>
      </c>
      <c r="B248" s="31">
        <v>944486.41999999993</v>
      </c>
      <c r="C248" s="31"/>
      <c r="D248" s="31"/>
      <c r="E248" s="32"/>
    </row>
    <row r="249" spans="1:5" ht="30">
      <c r="A249" s="15" t="s">
        <v>192</v>
      </c>
      <c r="B249" s="34">
        <v>944486.41999999993</v>
      </c>
      <c r="C249" s="34"/>
      <c r="D249" s="34"/>
      <c r="E249" s="24"/>
    </row>
    <row r="250" spans="1:5">
      <c r="A250" s="11" t="s">
        <v>193</v>
      </c>
      <c r="B250" s="31">
        <v>7740888.04</v>
      </c>
      <c r="C250" s="31"/>
      <c r="D250" s="31">
        <f t="shared" ref="D250" si="13">D251</f>
        <v>7740888.04</v>
      </c>
      <c r="E250" s="32"/>
    </row>
    <row r="251" spans="1:5" ht="30">
      <c r="A251" s="15" t="s">
        <v>194</v>
      </c>
      <c r="B251" s="34">
        <v>7740888.04</v>
      </c>
      <c r="C251" s="34"/>
      <c r="D251" s="34">
        <f>7367124.94+312366.1+61397</f>
        <v>7740888.04</v>
      </c>
      <c r="E251" s="24" t="s">
        <v>618</v>
      </c>
    </row>
    <row r="252" spans="1:5">
      <c r="A252" s="11" t="s">
        <v>195</v>
      </c>
      <c r="B252" s="31">
        <v>9000</v>
      </c>
      <c r="C252" s="31"/>
      <c r="D252" s="31"/>
      <c r="E252" s="32"/>
    </row>
    <row r="253" spans="1:5">
      <c r="A253" s="15" t="s">
        <v>196</v>
      </c>
      <c r="B253" s="34">
        <v>9000</v>
      </c>
      <c r="C253" s="34"/>
      <c r="D253" s="34"/>
      <c r="E253" s="24"/>
    </row>
    <row r="254" spans="1:5">
      <c r="A254" s="11" t="s">
        <v>197</v>
      </c>
      <c r="B254" s="31">
        <v>2127.08</v>
      </c>
      <c r="C254" s="31"/>
      <c r="D254" s="31"/>
      <c r="E254" s="32"/>
    </row>
    <row r="255" spans="1:5">
      <c r="A255" s="15" t="s">
        <v>198</v>
      </c>
      <c r="B255" s="34">
        <v>2127.08</v>
      </c>
      <c r="C255" s="34"/>
      <c r="D255" s="34"/>
      <c r="E255" s="24"/>
    </row>
    <row r="256" spans="1:5">
      <c r="A256" s="11" t="s">
        <v>199</v>
      </c>
      <c r="B256" s="31">
        <v>2576391</v>
      </c>
      <c r="C256" s="31"/>
      <c r="D256" s="31"/>
      <c r="E256" s="32"/>
    </row>
    <row r="257" spans="1:5">
      <c r="A257" s="15" t="s">
        <v>200</v>
      </c>
      <c r="B257" s="34">
        <v>2576391</v>
      </c>
      <c r="C257" s="34"/>
      <c r="D257" s="34"/>
      <c r="E257" s="24"/>
    </row>
    <row r="258" spans="1:5">
      <c r="A258" s="11" t="s">
        <v>201</v>
      </c>
      <c r="B258" s="31">
        <v>262876.89999999991</v>
      </c>
      <c r="C258" s="31"/>
      <c r="D258" s="31"/>
      <c r="E258" s="32"/>
    </row>
    <row r="259" spans="1:5" ht="30">
      <c r="A259" s="15" t="s">
        <v>685</v>
      </c>
      <c r="B259" s="34">
        <v>262876.89999999991</v>
      </c>
      <c r="C259" s="34"/>
      <c r="D259" s="34">
        <f>262876.9+13643.31+8530</f>
        <v>285050.21000000002</v>
      </c>
      <c r="E259" s="24" t="s">
        <v>686</v>
      </c>
    </row>
    <row r="260" spans="1:5">
      <c r="A260" s="11" t="s">
        <v>202</v>
      </c>
      <c r="B260" s="31">
        <v>38080</v>
      </c>
      <c r="C260" s="31"/>
      <c r="D260" s="31"/>
      <c r="E260" s="32"/>
    </row>
    <row r="261" spans="1:5" ht="30">
      <c r="A261" s="15" t="s">
        <v>203</v>
      </c>
      <c r="B261" s="34">
        <v>38080</v>
      </c>
      <c r="C261" s="34"/>
      <c r="D261" s="34"/>
      <c r="E261" s="24"/>
    </row>
    <row r="262" spans="1:5">
      <c r="A262" s="11" t="s">
        <v>204</v>
      </c>
      <c r="B262" s="31">
        <v>133557</v>
      </c>
      <c r="C262" s="31"/>
      <c r="D262" s="31"/>
      <c r="E262" s="32"/>
    </row>
    <row r="263" spans="1:5">
      <c r="A263" s="15" t="s">
        <v>205</v>
      </c>
      <c r="B263" s="34">
        <v>133557</v>
      </c>
      <c r="C263" s="34"/>
      <c r="D263" s="34"/>
      <c r="E263" s="24"/>
    </row>
    <row r="264" spans="1:5">
      <c r="A264" s="11" t="s">
        <v>206</v>
      </c>
      <c r="B264" s="31">
        <v>26096440.460000001</v>
      </c>
      <c r="C264" s="31">
        <f>C265+C266</f>
        <v>25970575</v>
      </c>
      <c r="D264" s="31">
        <f>D265+D266</f>
        <v>25970575</v>
      </c>
      <c r="E264" s="32"/>
    </row>
    <row r="265" spans="1:5">
      <c r="A265" s="15" t="s">
        <v>207</v>
      </c>
      <c r="B265" s="34">
        <v>25970575</v>
      </c>
      <c r="C265" s="34">
        <f>24729454.3+1241120.7</f>
        <v>25970575</v>
      </c>
      <c r="D265" s="34">
        <f>24729454.3+1241120.7</f>
        <v>25970575</v>
      </c>
      <c r="E265" s="25" t="s">
        <v>619</v>
      </c>
    </row>
    <row r="266" spans="1:5">
      <c r="A266" s="15" t="s">
        <v>208</v>
      </c>
      <c r="B266" s="34">
        <v>125865.46</v>
      </c>
      <c r="C266" s="34"/>
      <c r="D266" s="34"/>
      <c r="E266" s="24"/>
    </row>
    <row r="267" spans="1:5">
      <c r="A267" s="11" t="s">
        <v>209</v>
      </c>
      <c r="B267" s="31">
        <v>32853.06</v>
      </c>
      <c r="C267" s="31"/>
      <c r="D267" s="31"/>
      <c r="E267" s="32"/>
    </row>
    <row r="268" spans="1:5" ht="30">
      <c r="A268" s="15" t="s">
        <v>210</v>
      </c>
      <c r="B268" s="34">
        <v>32853.06</v>
      </c>
      <c r="C268" s="34"/>
      <c r="D268" s="34"/>
      <c r="E268" s="24"/>
    </row>
    <row r="269" spans="1:5">
      <c r="A269" s="11" t="s">
        <v>211</v>
      </c>
      <c r="B269" s="31">
        <v>31080</v>
      </c>
      <c r="C269" s="31"/>
      <c r="D269" s="31"/>
      <c r="E269" s="32"/>
    </row>
    <row r="270" spans="1:5">
      <c r="A270" s="15" t="s">
        <v>212</v>
      </c>
      <c r="B270" s="34">
        <v>31080</v>
      </c>
      <c r="C270" s="34"/>
      <c r="D270" s="34"/>
      <c r="E270" s="24"/>
    </row>
    <row r="271" spans="1:5">
      <c r="A271" s="11" t="s">
        <v>213</v>
      </c>
      <c r="B271" s="31">
        <v>2745.47</v>
      </c>
      <c r="C271" s="31"/>
      <c r="D271" s="31"/>
      <c r="E271" s="32"/>
    </row>
    <row r="272" spans="1:5" ht="30">
      <c r="A272" s="15" t="s">
        <v>214</v>
      </c>
      <c r="B272" s="34">
        <v>2745.47</v>
      </c>
      <c r="C272" s="34"/>
      <c r="D272" s="34"/>
      <c r="E272" s="24"/>
    </row>
    <row r="273" spans="1:5">
      <c r="A273" s="11" t="s">
        <v>215</v>
      </c>
      <c r="B273" s="31">
        <v>91531.950000000012</v>
      </c>
      <c r="C273" s="31"/>
      <c r="D273" s="31"/>
      <c r="E273" s="32"/>
    </row>
    <row r="274" spans="1:5">
      <c r="A274" s="15" t="s">
        <v>216</v>
      </c>
      <c r="B274" s="34">
        <v>91531.950000000012</v>
      </c>
      <c r="C274" s="34"/>
      <c r="D274" s="34"/>
      <c r="E274" s="24"/>
    </row>
    <row r="275" spans="1:5">
      <c r="A275" s="11" t="s">
        <v>217</v>
      </c>
      <c r="B275" s="31">
        <v>207872.4</v>
      </c>
      <c r="C275" s="31"/>
      <c r="D275" s="31"/>
      <c r="E275" s="32"/>
    </row>
    <row r="276" spans="1:5" ht="30">
      <c r="A276" s="15" t="s">
        <v>218</v>
      </c>
      <c r="B276" s="34">
        <v>207872.4</v>
      </c>
      <c r="C276" s="34"/>
      <c r="D276" s="34"/>
      <c r="E276" s="24"/>
    </row>
    <row r="277" spans="1:5">
      <c r="A277" s="11" t="s">
        <v>219</v>
      </c>
      <c r="B277" s="31">
        <v>85271.38</v>
      </c>
      <c r="C277" s="31"/>
      <c r="D277" s="31"/>
      <c r="E277" s="32"/>
    </row>
    <row r="278" spans="1:5">
      <c r="A278" s="15" t="s">
        <v>220</v>
      </c>
      <c r="B278" s="34">
        <v>85271.38</v>
      </c>
      <c r="C278" s="34"/>
      <c r="D278" s="34"/>
      <c r="E278" s="24"/>
    </row>
    <row r="279" spans="1:5">
      <c r="A279" s="11" t="s">
        <v>221</v>
      </c>
      <c r="B279" s="31">
        <v>132929.68</v>
      </c>
      <c r="C279" s="31"/>
      <c r="D279" s="31"/>
      <c r="E279" s="32"/>
    </row>
    <row r="280" spans="1:5" ht="30">
      <c r="A280" s="15" t="s">
        <v>222</v>
      </c>
      <c r="B280" s="34">
        <v>132929.68</v>
      </c>
      <c r="C280" s="34"/>
      <c r="D280" s="34"/>
      <c r="E280" s="24"/>
    </row>
    <row r="281" spans="1:5">
      <c r="A281" s="11" t="s">
        <v>223</v>
      </c>
      <c r="B281" s="31">
        <v>430417.33999999997</v>
      </c>
      <c r="C281" s="31"/>
      <c r="D281" s="31">
        <f t="shared" ref="D281" si="14">D282</f>
        <v>430417.34</v>
      </c>
      <c r="E281" s="35"/>
    </row>
    <row r="282" spans="1:5" ht="30">
      <c r="A282" s="15" t="s">
        <v>224</v>
      </c>
      <c r="B282" s="34">
        <v>430417.33999999997</v>
      </c>
      <c r="C282" s="34"/>
      <c r="D282" s="34">
        <v>430417.34</v>
      </c>
      <c r="E282" s="24" t="s">
        <v>620</v>
      </c>
    </row>
    <row r="283" spans="1:5">
      <c r="A283" s="11" t="s">
        <v>225</v>
      </c>
      <c r="B283" s="31">
        <v>25550</v>
      </c>
      <c r="C283" s="31"/>
      <c r="D283" s="31"/>
      <c r="E283" s="32"/>
    </row>
    <row r="284" spans="1:5">
      <c r="A284" s="15" t="s">
        <v>226</v>
      </c>
      <c r="B284" s="34">
        <v>25550</v>
      </c>
      <c r="C284" s="34"/>
      <c r="D284" s="34"/>
      <c r="E284" s="24"/>
    </row>
    <row r="285" spans="1:5">
      <c r="A285" s="13" t="s">
        <v>227</v>
      </c>
      <c r="B285" s="41">
        <f>B286+B290+B292+B294+B296+B299+B301+B303</f>
        <v>3732816.2300000004</v>
      </c>
      <c r="C285" s="41">
        <f t="shared" ref="C285:D285" si="15">C286+C290+C292+C294+C296+C299+C301+C303</f>
        <v>202150</v>
      </c>
      <c r="D285" s="41">
        <f t="shared" si="15"/>
        <v>202150</v>
      </c>
      <c r="E285" s="10"/>
    </row>
    <row r="286" spans="1:5">
      <c r="A286" s="11" t="s">
        <v>228</v>
      </c>
      <c r="B286" s="31">
        <v>672450</v>
      </c>
      <c r="C286" s="31"/>
      <c r="D286" s="31"/>
      <c r="E286" s="32"/>
    </row>
    <row r="287" spans="1:5" ht="30">
      <c r="A287" s="15" t="s">
        <v>229</v>
      </c>
      <c r="B287" s="34">
        <v>168100</v>
      </c>
      <c r="C287" s="34"/>
      <c r="D287" s="34"/>
      <c r="E287" s="24"/>
    </row>
    <row r="288" spans="1:5">
      <c r="A288" s="15" t="s">
        <v>230</v>
      </c>
      <c r="B288" s="34">
        <v>418000</v>
      </c>
      <c r="C288" s="34"/>
      <c r="D288" s="34"/>
      <c r="E288" s="24"/>
    </row>
    <row r="289" spans="1:5" ht="30">
      <c r="A289" s="15" t="s">
        <v>231</v>
      </c>
      <c r="B289" s="34">
        <v>86350</v>
      </c>
      <c r="C289" s="34"/>
      <c r="D289" s="34"/>
      <c r="E289" s="24"/>
    </row>
    <row r="290" spans="1:5">
      <c r="A290" s="11" t="s">
        <v>232</v>
      </c>
      <c r="B290" s="31">
        <v>2066</v>
      </c>
      <c r="C290" s="31"/>
      <c r="D290" s="31"/>
      <c r="E290" s="32"/>
    </row>
    <row r="291" spans="1:5">
      <c r="A291" s="15" t="s">
        <v>233</v>
      </c>
      <c r="B291" s="34">
        <v>2066</v>
      </c>
      <c r="C291" s="34"/>
      <c r="D291" s="34"/>
      <c r="E291" s="24"/>
    </row>
    <row r="292" spans="1:5">
      <c r="A292" s="11" t="s">
        <v>234</v>
      </c>
      <c r="B292" s="31">
        <v>22150</v>
      </c>
      <c r="C292" s="31">
        <v>22150</v>
      </c>
      <c r="D292" s="31">
        <v>22150</v>
      </c>
      <c r="E292" s="32"/>
    </row>
    <row r="293" spans="1:5" ht="30">
      <c r="A293" s="15" t="s">
        <v>235</v>
      </c>
      <c r="B293" s="34">
        <v>22150</v>
      </c>
      <c r="C293" s="34"/>
      <c r="D293" s="34"/>
      <c r="E293" s="24"/>
    </row>
    <row r="294" spans="1:5">
      <c r="A294" s="11" t="s">
        <v>236</v>
      </c>
      <c r="B294" s="31">
        <v>18000</v>
      </c>
      <c r="C294" s="31">
        <v>18000</v>
      </c>
      <c r="D294" s="31">
        <v>18000</v>
      </c>
      <c r="E294" s="32"/>
    </row>
    <row r="295" spans="1:5">
      <c r="A295" s="15" t="s">
        <v>237</v>
      </c>
      <c r="B295" s="34">
        <v>18000</v>
      </c>
      <c r="C295" s="34"/>
      <c r="D295" s="34"/>
      <c r="E295" s="24"/>
    </row>
    <row r="296" spans="1:5">
      <c r="A296" s="11" t="s">
        <v>238</v>
      </c>
      <c r="B296" s="31">
        <v>162000</v>
      </c>
      <c r="C296" s="31">
        <v>162000</v>
      </c>
      <c r="D296" s="31">
        <v>162000</v>
      </c>
      <c r="E296" s="32"/>
    </row>
    <row r="297" spans="1:5" ht="30">
      <c r="A297" s="15" t="s">
        <v>239</v>
      </c>
      <c r="B297" s="34">
        <v>53000</v>
      </c>
      <c r="C297" s="34"/>
      <c r="D297" s="34"/>
      <c r="E297" s="24"/>
    </row>
    <row r="298" spans="1:5" ht="30">
      <c r="A298" s="15" t="s">
        <v>240</v>
      </c>
      <c r="B298" s="34">
        <v>109000</v>
      </c>
      <c r="C298" s="34"/>
      <c r="D298" s="34"/>
      <c r="E298" s="24"/>
    </row>
    <row r="299" spans="1:5">
      <c r="A299" s="11" t="s">
        <v>241</v>
      </c>
      <c r="B299" s="31">
        <v>127137.49</v>
      </c>
      <c r="C299" s="31"/>
      <c r="D299" s="31"/>
      <c r="E299" s="32"/>
    </row>
    <row r="300" spans="1:5">
      <c r="A300" s="15" t="s">
        <v>242</v>
      </c>
      <c r="B300" s="34">
        <v>127137.49</v>
      </c>
      <c r="C300" s="34"/>
      <c r="D300" s="34"/>
      <c r="E300" s="24"/>
    </row>
    <row r="301" spans="1:5">
      <c r="A301" s="11" t="s">
        <v>243</v>
      </c>
      <c r="B301" s="31">
        <v>114204</v>
      </c>
      <c r="C301" s="31"/>
      <c r="D301" s="31"/>
      <c r="E301" s="32"/>
    </row>
    <row r="302" spans="1:5" ht="30">
      <c r="A302" s="15" t="s">
        <v>244</v>
      </c>
      <c r="B302" s="34">
        <v>114204</v>
      </c>
      <c r="C302" s="34"/>
      <c r="D302" s="34"/>
      <c r="E302" s="24"/>
    </row>
    <row r="303" spans="1:5">
      <c r="A303" s="11" t="s">
        <v>245</v>
      </c>
      <c r="B303" s="31">
        <v>2614808.7400000002</v>
      </c>
      <c r="C303" s="31"/>
      <c r="D303" s="31"/>
      <c r="E303" s="32"/>
    </row>
    <row r="304" spans="1:5">
      <c r="A304" s="15" t="s">
        <v>246</v>
      </c>
      <c r="B304" s="34">
        <v>1030089.72</v>
      </c>
      <c r="C304" s="34"/>
      <c r="D304" s="34"/>
      <c r="E304" s="24"/>
    </row>
    <row r="305" spans="1:5">
      <c r="A305" s="15" t="s">
        <v>247</v>
      </c>
      <c r="B305" s="34">
        <v>1584719.02</v>
      </c>
      <c r="C305" s="34"/>
      <c r="D305" s="34"/>
      <c r="E305" s="24"/>
    </row>
    <row r="306" spans="1:5">
      <c r="A306" s="13" t="s">
        <v>248</v>
      </c>
      <c r="B306" s="41">
        <f>B307+B309+B311+B313+B315+B317+B320+B322+B324</f>
        <v>6583218.7100000009</v>
      </c>
      <c r="C306" s="41">
        <f t="shared" ref="C306:D306" si="16">C307+C309+C311+C313+C315+C317+C320+C322+C324</f>
        <v>1699883.6300000001</v>
      </c>
      <c r="D306" s="41">
        <f t="shared" si="16"/>
        <v>215066.03000000003</v>
      </c>
      <c r="E306" s="10"/>
    </row>
    <row r="307" spans="1:5" ht="28.5">
      <c r="A307" s="11" t="s">
        <v>249</v>
      </c>
      <c r="B307" s="31">
        <v>800</v>
      </c>
      <c r="C307" s="31"/>
      <c r="D307" s="31"/>
      <c r="E307" s="32"/>
    </row>
    <row r="308" spans="1:5" ht="30">
      <c r="A308" s="15" t="s">
        <v>250</v>
      </c>
      <c r="B308" s="34">
        <v>800</v>
      </c>
      <c r="C308" s="34"/>
      <c r="D308" s="34"/>
      <c r="E308" s="24"/>
    </row>
    <row r="309" spans="1:5">
      <c r="A309" s="11" t="s">
        <v>251</v>
      </c>
      <c r="B309" s="31">
        <v>4753231.9800000004</v>
      </c>
      <c r="C309" s="31"/>
      <c r="D309" s="31"/>
      <c r="E309" s="32"/>
    </row>
    <row r="310" spans="1:5">
      <c r="A310" s="15" t="s">
        <v>252</v>
      </c>
      <c r="B310" s="34">
        <v>4753231.9800000004</v>
      </c>
      <c r="C310" s="34"/>
      <c r="D310" s="34"/>
      <c r="E310" s="24"/>
    </row>
    <row r="311" spans="1:5">
      <c r="A311" s="11" t="s">
        <v>253</v>
      </c>
      <c r="B311" s="31">
        <v>15914.06</v>
      </c>
      <c r="C311" s="31"/>
      <c r="D311" s="31"/>
      <c r="E311" s="32"/>
    </row>
    <row r="312" spans="1:5" ht="30">
      <c r="A312" s="15" t="s">
        <v>254</v>
      </c>
      <c r="B312" s="34">
        <v>15914.06</v>
      </c>
      <c r="C312" s="34"/>
      <c r="D312" s="34"/>
      <c r="E312" s="24"/>
    </row>
    <row r="313" spans="1:5">
      <c r="A313" s="11" t="s">
        <v>255</v>
      </c>
      <c r="B313" s="31">
        <v>108065.8</v>
      </c>
      <c r="C313" s="31">
        <v>108065.8</v>
      </c>
      <c r="D313" s="31">
        <v>108065.8</v>
      </c>
      <c r="E313" s="32"/>
    </row>
    <row r="314" spans="1:5" ht="30">
      <c r="A314" s="15" t="s">
        <v>256</v>
      </c>
      <c r="B314" s="34">
        <v>108065.8</v>
      </c>
      <c r="C314" s="34"/>
      <c r="D314" s="34"/>
      <c r="E314" s="24"/>
    </row>
    <row r="315" spans="1:5">
      <c r="A315" s="11" t="s">
        <v>257</v>
      </c>
      <c r="B315" s="31">
        <v>1591817.82</v>
      </c>
      <c r="C315" s="66">
        <f>C316</f>
        <v>1591817.83</v>
      </c>
      <c r="D315" s="66"/>
      <c r="E315" s="37"/>
    </row>
    <row r="316" spans="1:5" ht="30">
      <c r="A316" s="15" t="s">
        <v>258</v>
      </c>
      <c r="B316" s="34">
        <v>1591817.82</v>
      </c>
      <c r="C316" s="34">
        <v>1591817.83</v>
      </c>
      <c r="D316" s="34"/>
      <c r="E316" s="24" t="s">
        <v>621</v>
      </c>
    </row>
    <row r="317" spans="1:5">
      <c r="A317" s="11" t="s">
        <v>259</v>
      </c>
      <c r="B317" s="31">
        <v>14554.630000000001</v>
      </c>
      <c r="C317" s="31"/>
      <c r="D317" s="31"/>
      <c r="E317" s="32"/>
    </row>
    <row r="318" spans="1:5">
      <c r="A318" s="15" t="s">
        <v>260</v>
      </c>
      <c r="B318" s="34">
        <v>4284.88</v>
      </c>
      <c r="C318" s="34"/>
      <c r="D318" s="34"/>
      <c r="E318" s="24"/>
    </row>
    <row r="319" spans="1:5">
      <c r="A319" s="15" t="s">
        <v>261</v>
      </c>
      <c r="B319" s="34">
        <v>10269.75</v>
      </c>
      <c r="C319" s="34"/>
      <c r="D319" s="34"/>
      <c r="E319" s="24"/>
    </row>
    <row r="320" spans="1:5">
      <c r="A320" s="11" t="s">
        <v>262</v>
      </c>
      <c r="B320" s="31">
        <v>87465.4</v>
      </c>
      <c r="C320" s="31"/>
      <c r="D320" s="31">
        <f>D321</f>
        <v>107000.23000000001</v>
      </c>
      <c r="E320" s="32"/>
    </row>
    <row r="321" spans="1:5" ht="45">
      <c r="A321" s="15" t="s">
        <v>263</v>
      </c>
      <c r="B321" s="34">
        <v>87465.4</v>
      </c>
      <c r="C321" s="34"/>
      <c r="D321" s="34">
        <f>88294.3+7861.93+3847+6997</f>
        <v>107000.23000000001</v>
      </c>
      <c r="E321" s="24" t="s">
        <v>635</v>
      </c>
    </row>
    <row r="322" spans="1:5">
      <c r="A322" s="11" t="s">
        <v>264</v>
      </c>
      <c r="B322" s="31">
        <v>654.62</v>
      </c>
      <c r="C322" s="31"/>
      <c r="D322" s="31"/>
      <c r="E322" s="32"/>
    </row>
    <row r="323" spans="1:5">
      <c r="A323" s="15" t="s">
        <v>265</v>
      </c>
      <c r="B323" s="34">
        <v>654.62</v>
      </c>
      <c r="C323" s="34"/>
      <c r="D323" s="34"/>
      <c r="E323" s="24"/>
    </row>
    <row r="324" spans="1:5">
      <c r="A324" s="11" t="s">
        <v>266</v>
      </c>
      <c r="B324" s="31">
        <v>10714.4</v>
      </c>
      <c r="C324" s="31"/>
      <c r="D324" s="31"/>
      <c r="E324" s="32"/>
    </row>
    <row r="325" spans="1:5" ht="30">
      <c r="A325" s="15" t="s">
        <v>267</v>
      </c>
      <c r="B325" s="34">
        <v>10714.4</v>
      </c>
      <c r="C325" s="34"/>
      <c r="D325" s="34"/>
      <c r="E325" s="24"/>
    </row>
    <row r="326" spans="1:5" ht="28.5">
      <c r="A326" s="14" t="s">
        <v>268</v>
      </c>
      <c r="B326" s="46">
        <f>B327+B329+B331+B335+B339+B341+B343+B346+B348+B356+B358+B360+B363+B365+B367+B370+B372+B374+B379+B381</f>
        <v>68817348.929999992</v>
      </c>
      <c r="C326" s="46">
        <f>C327+C329+C331+C335+C339+C341+C343+C346+C348+C356+C358+C360+C363+C365+C367+C370+C372+C374+C379+C381</f>
        <v>8456011.3599999994</v>
      </c>
      <c r="D326" s="46">
        <f>D327+D329+D331+D335+D339+D341+D343+D346+D348+D356+D358+D360+D363+D365+D367+D370+D372+D374+D379+D381</f>
        <v>24630746.829999998</v>
      </c>
      <c r="E326" s="45"/>
    </row>
    <row r="327" spans="1:5">
      <c r="A327" s="11" t="s">
        <v>269</v>
      </c>
      <c r="B327" s="31">
        <v>599381</v>
      </c>
      <c r="C327" s="31"/>
      <c r="D327" s="31"/>
      <c r="E327" s="32"/>
    </row>
    <row r="328" spans="1:5">
      <c r="A328" s="15" t="s">
        <v>270</v>
      </c>
      <c r="B328" s="34">
        <v>599381</v>
      </c>
      <c r="C328" s="34"/>
      <c r="D328" s="34"/>
      <c r="E328" s="24"/>
    </row>
    <row r="329" spans="1:5">
      <c r="A329" s="11" t="s">
        <v>271</v>
      </c>
      <c r="B329" s="31">
        <v>11695488.439999999</v>
      </c>
      <c r="C329" s="31"/>
      <c r="D329" s="31"/>
      <c r="E329" s="32"/>
    </row>
    <row r="330" spans="1:5" ht="30">
      <c r="A330" s="15" t="s">
        <v>702</v>
      </c>
      <c r="B330" s="34">
        <v>11695488.439999999</v>
      </c>
      <c r="C330" s="34"/>
      <c r="D330" s="34">
        <f>8912034.93+67560</f>
        <v>8979594.9299999997</v>
      </c>
      <c r="E330" s="24" t="s">
        <v>703</v>
      </c>
    </row>
    <row r="331" spans="1:5">
      <c r="A331" s="11" t="s">
        <v>272</v>
      </c>
      <c r="B331" s="31">
        <f>SUM(B332:B334)</f>
        <v>10504265.199999999</v>
      </c>
      <c r="C331" s="31">
        <f t="shared" ref="C331:D331" si="17">SUM(C332:C334)</f>
        <v>0</v>
      </c>
      <c r="D331" s="31">
        <f t="shared" si="17"/>
        <v>10558169.379999999</v>
      </c>
      <c r="E331" s="32"/>
    </row>
    <row r="332" spans="1:5" ht="30">
      <c r="A332" s="15" t="s">
        <v>273</v>
      </c>
      <c r="B332" s="34">
        <v>2221514.71</v>
      </c>
      <c r="C332" s="34"/>
      <c r="D332" s="34">
        <v>2221514.71</v>
      </c>
      <c r="E332" s="24" t="s">
        <v>654</v>
      </c>
    </row>
    <row r="333" spans="1:5" ht="30">
      <c r="A333" s="15" t="s">
        <v>274</v>
      </c>
      <c r="B333" s="34">
        <v>8282750.4900000002</v>
      </c>
      <c r="C333" s="34"/>
      <c r="D333" s="34">
        <v>8261240.6699999999</v>
      </c>
      <c r="E333" s="24" t="s">
        <v>654</v>
      </c>
    </row>
    <row r="334" spans="1:5" ht="30">
      <c r="A334" s="15" t="s">
        <v>653</v>
      </c>
      <c r="B334" s="34"/>
      <c r="C334" s="34"/>
      <c r="D334" s="34">
        <v>75414</v>
      </c>
      <c r="E334" s="24" t="s">
        <v>654</v>
      </c>
    </row>
    <row r="335" spans="1:5" ht="28.5">
      <c r="A335" s="11" t="s">
        <v>275</v>
      </c>
      <c r="B335" s="31">
        <v>9571021.4600000009</v>
      </c>
      <c r="C335" s="31"/>
      <c r="D335" s="31"/>
      <c r="E335" s="32"/>
    </row>
    <row r="336" spans="1:5">
      <c r="A336" s="15" t="s">
        <v>276</v>
      </c>
      <c r="B336" s="34">
        <v>7686171.46</v>
      </c>
      <c r="C336" s="34"/>
      <c r="D336" s="34"/>
      <c r="E336" s="24"/>
    </row>
    <row r="337" spans="1:5">
      <c r="A337" s="15" t="s">
        <v>277</v>
      </c>
      <c r="B337" s="34">
        <v>1884850</v>
      </c>
      <c r="C337" s="34"/>
      <c r="D337" s="34"/>
      <c r="E337" s="24"/>
    </row>
    <row r="338" spans="1:5" ht="45">
      <c r="A338" s="15" t="s">
        <v>679</v>
      </c>
      <c r="B338" s="34"/>
      <c r="C338" s="34">
        <v>231367.05</v>
      </c>
      <c r="D338" s="34"/>
      <c r="E338" s="24" t="s">
        <v>680</v>
      </c>
    </row>
    <row r="339" spans="1:5">
      <c r="A339" s="11" t="s">
        <v>278</v>
      </c>
      <c r="B339" s="31">
        <v>47775</v>
      </c>
      <c r="C339" s="31">
        <f>C340</f>
        <v>47775</v>
      </c>
      <c r="D339" s="31"/>
      <c r="E339" s="32"/>
    </row>
    <row r="340" spans="1:5">
      <c r="A340" s="15" t="s">
        <v>279</v>
      </c>
      <c r="B340" s="34">
        <v>47775</v>
      </c>
      <c r="C340" s="34">
        <v>47775</v>
      </c>
      <c r="D340" s="34"/>
      <c r="E340" s="24" t="s">
        <v>681</v>
      </c>
    </row>
    <row r="341" spans="1:5">
      <c r="A341" s="11" t="s">
        <v>280</v>
      </c>
      <c r="B341" s="31">
        <v>2335193.37</v>
      </c>
      <c r="C341" s="31"/>
      <c r="D341" s="31"/>
      <c r="E341" s="32"/>
    </row>
    <row r="342" spans="1:5" ht="30">
      <c r="A342" s="15" t="s">
        <v>281</v>
      </c>
      <c r="B342" s="34">
        <v>2335193.37</v>
      </c>
      <c r="C342" s="34"/>
      <c r="D342" s="34"/>
      <c r="E342" s="24"/>
    </row>
    <row r="343" spans="1:5">
      <c r="A343" s="11" t="s">
        <v>282</v>
      </c>
      <c r="B343" s="31">
        <v>605749.43000000063</v>
      </c>
      <c r="C343" s="31"/>
      <c r="D343" s="31"/>
      <c r="E343" s="32"/>
    </row>
    <row r="344" spans="1:5">
      <c r="A344" s="15" t="s">
        <v>283</v>
      </c>
      <c r="B344" s="34">
        <v>225083.43000000063</v>
      </c>
      <c r="C344" s="34"/>
      <c r="D344" s="34"/>
      <c r="E344" s="24"/>
    </row>
    <row r="345" spans="1:5">
      <c r="A345" s="15" t="s">
        <v>284</v>
      </c>
      <c r="B345" s="34">
        <v>380666</v>
      </c>
      <c r="C345" s="34"/>
      <c r="D345" s="34"/>
      <c r="E345" s="24"/>
    </row>
    <row r="346" spans="1:5" ht="28.5">
      <c r="A346" s="11" t="s">
        <v>285</v>
      </c>
      <c r="B346" s="31">
        <v>59138.990000000224</v>
      </c>
      <c r="C346" s="31"/>
      <c r="D346" s="31"/>
      <c r="E346" s="32"/>
    </row>
    <row r="347" spans="1:5" ht="30">
      <c r="A347" s="15" t="s">
        <v>286</v>
      </c>
      <c r="B347" s="34">
        <v>59138.990000000224</v>
      </c>
      <c r="C347" s="34"/>
      <c r="D347" s="34"/>
      <c r="E347" s="24"/>
    </row>
    <row r="348" spans="1:5">
      <c r="A348" s="11" t="s">
        <v>287</v>
      </c>
      <c r="B348" s="31">
        <f>SUM(B349:B355)</f>
        <v>1080570.3699999994</v>
      </c>
      <c r="C348" s="31">
        <f>SUM(C349:C355)</f>
        <v>1303993.6400000001</v>
      </c>
      <c r="D348" s="31">
        <f>SUM(D349:D355)</f>
        <v>0</v>
      </c>
      <c r="E348" s="32"/>
    </row>
    <row r="349" spans="1:5" ht="30">
      <c r="A349" s="15" t="s">
        <v>288</v>
      </c>
      <c r="B349" s="34">
        <v>330771.90000000002</v>
      </c>
      <c r="C349" s="34">
        <v>330771.90000000002</v>
      </c>
      <c r="D349" s="34"/>
      <c r="E349" s="24" t="s">
        <v>681</v>
      </c>
    </row>
    <row r="350" spans="1:5" ht="30">
      <c r="A350" s="15" t="s">
        <v>289</v>
      </c>
      <c r="B350" s="34">
        <v>563556.19999999925</v>
      </c>
      <c r="C350" s="34">
        <v>563556.19999999995</v>
      </c>
      <c r="D350" s="34"/>
      <c r="E350" s="24" t="s">
        <v>681</v>
      </c>
    </row>
    <row r="351" spans="1:5" s="79" customFormat="1" ht="30">
      <c r="A351" s="15" t="s">
        <v>290</v>
      </c>
      <c r="B351" s="34">
        <v>8809</v>
      </c>
      <c r="C351" s="34">
        <v>13465</v>
      </c>
      <c r="D351" s="34"/>
      <c r="E351" s="24" t="s">
        <v>681</v>
      </c>
    </row>
    <row r="352" spans="1:5" s="79" customFormat="1">
      <c r="A352" s="15" t="s">
        <v>291</v>
      </c>
      <c r="B352" s="34">
        <v>4656</v>
      </c>
      <c r="C352" s="34">
        <v>4656</v>
      </c>
      <c r="D352" s="34"/>
      <c r="E352" s="24" t="s">
        <v>681</v>
      </c>
    </row>
    <row r="353" spans="1:5" s="79" customFormat="1" ht="30">
      <c r="A353" s="15" t="s">
        <v>292</v>
      </c>
      <c r="B353" s="34">
        <v>109131.42</v>
      </c>
      <c r="C353" s="34">
        <v>327898.69</v>
      </c>
      <c r="D353" s="34"/>
      <c r="E353" s="24" t="s">
        <v>681</v>
      </c>
    </row>
    <row r="354" spans="1:5">
      <c r="A354" s="15" t="s">
        <v>293</v>
      </c>
      <c r="B354" s="34">
        <v>52500</v>
      </c>
      <c r="C354" s="34">
        <v>52500</v>
      </c>
      <c r="D354" s="34"/>
      <c r="E354" s="24" t="s">
        <v>681</v>
      </c>
    </row>
    <row r="355" spans="1:5" ht="30">
      <c r="A355" s="15" t="s">
        <v>682</v>
      </c>
      <c r="B355" s="34">
        <v>11145.85</v>
      </c>
      <c r="C355" s="34">
        <v>11145.85</v>
      </c>
      <c r="D355" s="34"/>
      <c r="E355" s="24" t="s">
        <v>681</v>
      </c>
    </row>
    <row r="356" spans="1:5" ht="28.5">
      <c r="A356" s="11" t="s">
        <v>294</v>
      </c>
      <c r="B356" s="31">
        <v>150470.34</v>
      </c>
      <c r="C356" s="36">
        <f>C357</f>
        <v>150470.34</v>
      </c>
      <c r="D356" s="36">
        <f>D357</f>
        <v>150470.34</v>
      </c>
      <c r="E356" s="37"/>
    </row>
    <row r="357" spans="1:5">
      <c r="A357" s="15" t="s">
        <v>295</v>
      </c>
      <c r="B357" s="34">
        <v>150470.34</v>
      </c>
      <c r="C357" s="38">
        <v>150470.34</v>
      </c>
      <c r="D357" s="38">
        <v>150470.34</v>
      </c>
      <c r="E357" s="39" t="s">
        <v>622</v>
      </c>
    </row>
    <row r="358" spans="1:5">
      <c r="A358" s="11" t="s">
        <v>296</v>
      </c>
      <c r="B358" s="31">
        <v>223000</v>
      </c>
      <c r="C358" s="31"/>
      <c r="D358" s="31"/>
      <c r="E358" s="32"/>
    </row>
    <row r="359" spans="1:5" ht="30">
      <c r="A359" s="15" t="s">
        <v>297</v>
      </c>
      <c r="B359" s="34">
        <v>223000</v>
      </c>
      <c r="C359" s="34"/>
      <c r="D359" s="34"/>
      <c r="E359" s="24"/>
    </row>
    <row r="360" spans="1:5">
      <c r="A360" s="11" t="s">
        <v>298</v>
      </c>
      <c r="B360" s="31">
        <v>3659650.11</v>
      </c>
      <c r="C360" s="31"/>
      <c r="D360" s="36">
        <f t="shared" ref="D360" si="18">D361</f>
        <v>3659650.11</v>
      </c>
      <c r="E360" s="37"/>
    </row>
    <row r="361" spans="1:5" ht="30">
      <c r="A361" s="15" t="s">
        <v>299</v>
      </c>
      <c r="B361" s="34">
        <v>3659650.11</v>
      </c>
      <c r="C361" s="34"/>
      <c r="D361" s="38">
        <f>3618557.32+41092.79</f>
        <v>3659650.11</v>
      </c>
      <c r="E361" s="39" t="s">
        <v>623</v>
      </c>
    </row>
    <row r="362" spans="1:5">
      <c r="A362" s="15" t="s">
        <v>300</v>
      </c>
      <c r="B362" s="34">
        <v>441139.08</v>
      </c>
      <c r="C362" s="34"/>
      <c r="D362" s="34"/>
      <c r="E362" s="24"/>
    </row>
    <row r="363" spans="1:5">
      <c r="A363" s="11" t="s">
        <v>301</v>
      </c>
      <c r="B363" s="31">
        <v>12743487.880000001</v>
      </c>
      <c r="C363" s="31"/>
      <c r="D363" s="31"/>
      <c r="E363" s="32"/>
    </row>
    <row r="364" spans="1:5" ht="30">
      <c r="A364" s="15" t="s">
        <v>302</v>
      </c>
      <c r="B364" s="34">
        <v>12743487.880000001</v>
      </c>
      <c r="C364" s="34"/>
      <c r="D364" s="34"/>
      <c r="E364" s="24"/>
    </row>
    <row r="365" spans="1:5">
      <c r="A365" s="11" t="s">
        <v>303</v>
      </c>
      <c r="B365" s="31">
        <v>111979.98</v>
      </c>
      <c r="C365" s="36">
        <f>C366</f>
        <v>111979.98</v>
      </c>
      <c r="D365" s="36">
        <f>D366</f>
        <v>111979.98</v>
      </c>
      <c r="E365" s="37"/>
    </row>
    <row r="366" spans="1:5" ht="30">
      <c r="A366" s="15" t="s">
        <v>304</v>
      </c>
      <c r="B366" s="34">
        <v>111979.98</v>
      </c>
      <c r="C366" s="38">
        <v>111979.98</v>
      </c>
      <c r="D366" s="38">
        <v>111979.98</v>
      </c>
      <c r="E366" s="39" t="s">
        <v>624</v>
      </c>
    </row>
    <row r="367" spans="1:5">
      <c r="A367" s="11" t="s">
        <v>305</v>
      </c>
      <c r="B367" s="31">
        <v>1530283</v>
      </c>
      <c r="C367" s="31"/>
      <c r="D367" s="31"/>
      <c r="E367" s="32"/>
    </row>
    <row r="368" spans="1:5" ht="30">
      <c r="A368" s="15" t="s">
        <v>306</v>
      </c>
      <c r="B368" s="34">
        <v>1527333</v>
      </c>
      <c r="C368" s="34"/>
      <c r="D368" s="34"/>
      <c r="E368" s="24"/>
    </row>
    <row r="369" spans="1:5">
      <c r="A369" s="15" t="s">
        <v>307</v>
      </c>
      <c r="B369" s="34">
        <v>2950</v>
      </c>
      <c r="C369" s="34"/>
      <c r="D369" s="34"/>
      <c r="E369" s="24"/>
    </row>
    <row r="370" spans="1:5">
      <c r="A370" s="11" t="s">
        <v>308</v>
      </c>
      <c r="B370" s="31">
        <v>60210.720000000205</v>
      </c>
      <c r="C370" s="31"/>
      <c r="D370" s="31"/>
      <c r="E370" s="32"/>
    </row>
    <row r="371" spans="1:5" ht="30">
      <c r="A371" s="15" t="s">
        <v>309</v>
      </c>
      <c r="B371" s="34">
        <v>60210.720000000205</v>
      </c>
      <c r="C371" s="34"/>
      <c r="D371" s="34"/>
      <c r="E371" s="24"/>
    </row>
    <row r="372" spans="1:5">
      <c r="A372" s="11" t="s">
        <v>310</v>
      </c>
      <c r="B372" s="31">
        <v>3000</v>
      </c>
      <c r="C372" s="31"/>
      <c r="D372" s="31"/>
      <c r="E372" s="32"/>
    </row>
    <row r="373" spans="1:5" ht="45">
      <c r="A373" s="15" t="s">
        <v>311</v>
      </c>
      <c r="B373" s="34">
        <v>3000</v>
      </c>
      <c r="C373" s="34"/>
      <c r="D373" s="34"/>
      <c r="E373" s="24"/>
    </row>
    <row r="374" spans="1:5" ht="30">
      <c r="A374" s="11" t="s">
        <v>312</v>
      </c>
      <c r="B374" s="31">
        <v>2567812.0299999937</v>
      </c>
      <c r="C374" s="31"/>
      <c r="D374" s="31">
        <v>9881670.4600000009</v>
      </c>
      <c r="E374" s="24" t="s">
        <v>625</v>
      </c>
    </row>
    <row r="375" spans="1:5" hidden="1">
      <c r="A375" s="15" t="s">
        <v>313</v>
      </c>
      <c r="B375" s="34">
        <v>-7296002.71</v>
      </c>
      <c r="C375" s="34"/>
      <c r="D375" s="34"/>
      <c r="E375" s="24"/>
    </row>
    <row r="376" spans="1:5" ht="30" hidden="1">
      <c r="A376" s="15" t="s">
        <v>314</v>
      </c>
      <c r="B376" s="34">
        <v>3894413.9699999951</v>
      </c>
      <c r="C376" s="34"/>
      <c r="D376" s="34"/>
      <c r="E376" s="24"/>
    </row>
    <row r="377" spans="1:5" hidden="1">
      <c r="A377" s="15" t="s">
        <v>315</v>
      </c>
      <c r="B377" s="34">
        <v>5829050.8499999996</v>
      </c>
      <c r="C377" s="34"/>
      <c r="D377" s="34"/>
      <c r="E377" s="24"/>
    </row>
    <row r="378" spans="1:5" hidden="1">
      <c r="A378" s="15" t="s">
        <v>316</v>
      </c>
      <c r="B378" s="34">
        <v>140349.92000000004</v>
      </c>
      <c r="C378" s="34"/>
      <c r="D378" s="34"/>
      <c r="E378" s="24"/>
    </row>
    <row r="379" spans="1:5">
      <c r="A379" s="11" t="s">
        <v>317</v>
      </c>
      <c r="B379" s="31">
        <v>11187355.800000001</v>
      </c>
      <c r="C379" s="31"/>
      <c r="D379" s="31"/>
      <c r="E379" s="32"/>
    </row>
    <row r="380" spans="1:5" ht="30">
      <c r="A380" s="15" t="s">
        <v>318</v>
      </c>
      <c r="B380" s="34">
        <v>11187355.800000001</v>
      </c>
      <c r="C380" s="34"/>
      <c r="D380" s="34"/>
      <c r="E380" s="24"/>
    </row>
    <row r="381" spans="1:5">
      <c r="A381" s="11" t="s">
        <v>319</v>
      </c>
      <c r="B381" s="31">
        <v>81515.81</v>
      </c>
      <c r="C381" s="31">
        <f>C382+C383+C384</f>
        <v>6841792.3999999994</v>
      </c>
      <c r="D381" s="31">
        <f>D382+D383+D384</f>
        <v>268806.56</v>
      </c>
      <c r="E381" s="32"/>
    </row>
    <row r="382" spans="1:5" ht="30">
      <c r="A382" s="15" t="s">
        <v>320</v>
      </c>
      <c r="B382" s="34">
        <v>14580.19</v>
      </c>
      <c r="C382" s="38">
        <f>14580.19+462.94</f>
        <v>15043.130000000001</v>
      </c>
      <c r="D382" s="38">
        <f>14580.19+462.94</f>
        <v>15043.130000000001</v>
      </c>
      <c r="E382" s="25" t="s">
        <v>619</v>
      </c>
    </row>
    <row r="383" spans="1:5">
      <c r="A383" s="15" t="s">
        <v>321</v>
      </c>
      <c r="B383" s="34">
        <v>66935.62</v>
      </c>
      <c r="C383" s="38">
        <f>66935.62+1960.67</f>
        <v>68896.289999999994</v>
      </c>
      <c r="D383" s="38">
        <f>66935.62+1960.67</f>
        <v>68896.289999999994</v>
      </c>
      <c r="E383" s="25" t="s">
        <v>619</v>
      </c>
    </row>
    <row r="384" spans="1:5">
      <c r="A384" s="14" t="s">
        <v>322</v>
      </c>
      <c r="B384" s="46">
        <f>B385+B433</f>
        <v>158388317.19</v>
      </c>
      <c r="C384" s="46">
        <f t="shared" ref="C384:D384" si="19">C385+C433</f>
        <v>6757852.9799999995</v>
      </c>
      <c r="D384" s="46">
        <f t="shared" si="19"/>
        <v>184867.14</v>
      </c>
      <c r="E384" s="45"/>
    </row>
    <row r="385" spans="1:5">
      <c r="A385" s="13" t="s">
        <v>323</v>
      </c>
      <c r="B385" s="41">
        <f>B386+B388+B390+B392+B394+B397+B399+B402+B405+B408+B410+B412+B414+B416+B418+B426+B428+B430</f>
        <v>158168976.47</v>
      </c>
      <c r="C385" s="41">
        <f t="shared" ref="C385:D385" si="20">C386+C388+C390+C392+C394+C397+C399+C402+C405+C408+C410+C412+C414+C416+C418+C426+C428+C430</f>
        <v>6757852.9799999995</v>
      </c>
      <c r="D385" s="41">
        <f t="shared" si="20"/>
        <v>0</v>
      </c>
      <c r="E385" s="10"/>
    </row>
    <row r="386" spans="1:5">
      <c r="A386" s="11" t="s">
        <v>324</v>
      </c>
      <c r="B386" s="31">
        <v>514136.77</v>
      </c>
      <c r="C386" s="31"/>
      <c r="D386" s="31"/>
      <c r="E386" s="32"/>
    </row>
    <row r="387" spans="1:5">
      <c r="A387" s="15" t="s">
        <v>325</v>
      </c>
      <c r="B387" s="34">
        <v>514136.77</v>
      </c>
      <c r="C387" s="34"/>
      <c r="D387" s="34"/>
      <c r="E387" s="24"/>
    </row>
    <row r="388" spans="1:5">
      <c r="A388" s="11" t="s">
        <v>326</v>
      </c>
      <c r="B388" s="31">
        <v>152778.32</v>
      </c>
      <c r="C388" s="31"/>
      <c r="D388" s="31"/>
      <c r="E388" s="32"/>
    </row>
    <row r="389" spans="1:5">
      <c r="A389" s="15" t="s">
        <v>327</v>
      </c>
      <c r="B389" s="34">
        <v>152778.32</v>
      </c>
      <c r="C389" s="34"/>
      <c r="D389" s="34"/>
      <c r="E389" s="24"/>
    </row>
    <row r="390" spans="1:5">
      <c r="A390" s="11" t="s">
        <v>724</v>
      </c>
      <c r="B390" s="31">
        <v>130663814.44</v>
      </c>
      <c r="C390" s="31"/>
      <c r="D390" s="31"/>
      <c r="E390" s="32"/>
    </row>
    <row r="391" spans="1:5">
      <c r="A391" s="15" t="s">
        <v>725</v>
      </c>
      <c r="B391" s="34">
        <v>130663814.44</v>
      </c>
      <c r="C391" s="34"/>
      <c r="D391" s="34"/>
      <c r="E391" s="24"/>
    </row>
    <row r="392" spans="1:5">
      <c r="A392" s="11" t="s">
        <v>328</v>
      </c>
      <c r="B392" s="31">
        <v>4848.1499999999996</v>
      </c>
      <c r="C392" s="31"/>
      <c r="D392" s="31"/>
      <c r="E392" s="32"/>
    </row>
    <row r="393" spans="1:5">
      <c r="A393" s="15" t="s">
        <v>329</v>
      </c>
      <c r="B393" s="34">
        <v>4848.1499999999996</v>
      </c>
      <c r="C393" s="34"/>
      <c r="D393" s="34"/>
      <c r="E393" s="24"/>
    </row>
    <row r="394" spans="1:5">
      <c r="A394" s="11" t="s">
        <v>330</v>
      </c>
      <c r="B394" s="31">
        <v>532315.64</v>
      </c>
      <c r="C394" s="31"/>
      <c r="D394" s="31"/>
      <c r="E394" s="32"/>
    </row>
    <row r="395" spans="1:5" ht="30">
      <c r="A395" s="15" t="s">
        <v>331</v>
      </c>
      <c r="B395" s="34">
        <v>441967.8</v>
      </c>
      <c r="C395" s="34"/>
      <c r="D395" s="34"/>
      <c r="E395" s="24"/>
    </row>
    <row r="396" spans="1:5" ht="30">
      <c r="A396" s="15" t="s">
        <v>332</v>
      </c>
      <c r="B396" s="34">
        <v>90347.839999999997</v>
      </c>
      <c r="C396" s="34"/>
      <c r="D396" s="34"/>
      <c r="E396" s="24"/>
    </row>
    <row r="397" spans="1:5">
      <c r="A397" s="11" t="s">
        <v>333</v>
      </c>
      <c r="B397" s="31">
        <v>198016.76999999955</v>
      </c>
      <c r="C397" s="31"/>
      <c r="D397" s="31"/>
      <c r="E397" s="32"/>
    </row>
    <row r="398" spans="1:5">
      <c r="A398" s="15" t="s">
        <v>334</v>
      </c>
      <c r="B398" s="34">
        <v>198016.76999999955</v>
      </c>
      <c r="C398" s="34"/>
      <c r="D398" s="34"/>
      <c r="E398" s="24"/>
    </row>
    <row r="399" spans="1:5">
      <c r="A399" s="11" t="s">
        <v>335</v>
      </c>
      <c r="B399" s="31">
        <v>295591.18</v>
      </c>
      <c r="C399" s="31"/>
      <c r="D399" s="31"/>
      <c r="E399" s="32"/>
    </row>
    <row r="400" spans="1:5">
      <c r="A400" s="15" t="s">
        <v>336</v>
      </c>
      <c r="B400" s="34">
        <v>104603.98999999999</v>
      </c>
      <c r="C400" s="34"/>
      <c r="D400" s="34"/>
      <c r="E400" s="24"/>
    </row>
    <row r="401" spans="1:5">
      <c r="A401" s="15" t="s">
        <v>337</v>
      </c>
      <c r="B401" s="34">
        <v>190987.19</v>
      </c>
      <c r="C401" s="34"/>
      <c r="D401" s="34"/>
      <c r="E401" s="24"/>
    </row>
    <row r="402" spans="1:5">
      <c r="A402" s="11" t="s">
        <v>338</v>
      </c>
      <c r="B402" s="31">
        <v>13200</v>
      </c>
      <c r="C402" s="31"/>
      <c r="D402" s="31"/>
      <c r="E402" s="32"/>
    </row>
    <row r="403" spans="1:5">
      <c r="A403" s="15" t="s">
        <v>339</v>
      </c>
      <c r="B403" s="34">
        <v>1200</v>
      </c>
      <c r="C403" s="34"/>
      <c r="D403" s="34"/>
      <c r="E403" s="24"/>
    </row>
    <row r="404" spans="1:5" ht="30">
      <c r="A404" s="15" t="s">
        <v>340</v>
      </c>
      <c r="B404" s="34">
        <v>12000</v>
      </c>
      <c r="C404" s="34"/>
      <c r="D404" s="34"/>
      <c r="E404" s="24"/>
    </row>
    <row r="405" spans="1:5">
      <c r="A405" s="11" t="s">
        <v>341</v>
      </c>
      <c r="B405" s="31">
        <v>4663012.5999999996</v>
      </c>
      <c r="C405" s="31"/>
      <c r="D405" s="31"/>
      <c r="E405" s="32"/>
    </row>
    <row r="406" spans="1:5">
      <c r="A406" s="15" t="s">
        <v>342</v>
      </c>
      <c r="B406" s="34">
        <v>4361317.84</v>
      </c>
      <c r="C406" s="34"/>
      <c r="D406" s="34"/>
      <c r="E406" s="24"/>
    </row>
    <row r="407" spans="1:5" ht="30">
      <c r="A407" s="15" t="s">
        <v>343</v>
      </c>
      <c r="B407" s="34">
        <v>301694.76000000007</v>
      </c>
      <c r="C407" s="34"/>
      <c r="D407" s="34"/>
      <c r="E407" s="24"/>
    </row>
    <row r="408" spans="1:5">
      <c r="A408" s="11" t="s">
        <v>344</v>
      </c>
      <c r="B408" s="31">
        <v>659403.48</v>
      </c>
      <c r="C408" s="31"/>
      <c r="D408" s="31"/>
      <c r="E408" s="32"/>
    </row>
    <row r="409" spans="1:5" ht="30">
      <c r="A409" s="15" t="s">
        <v>345</v>
      </c>
      <c r="B409" s="34">
        <v>659403.48</v>
      </c>
      <c r="C409" s="34"/>
      <c r="D409" s="34"/>
      <c r="E409" s="24"/>
    </row>
    <row r="410" spans="1:5">
      <c r="A410" s="11" t="s">
        <v>346</v>
      </c>
      <c r="B410" s="31">
        <v>45751.8</v>
      </c>
      <c r="C410" s="31"/>
      <c r="D410" s="31"/>
      <c r="E410" s="32"/>
    </row>
    <row r="411" spans="1:5">
      <c r="A411" s="15" t="s">
        <v>347</v>
      </c>
      <c r="B411" s="34">
        <v>45751.8</v>
      </c>
      <c r="C411" s="34"/>
      <c r="D411" s="34"/>
      <c r="E411" s="24"/>
    </row>
    <row r="412" spans="1:5">
      <c r="A412" s="11" t="s">
        <v>348</v>
      </c>
      <c r="B412" s="31">
        <v>238795</v>
      </c>
      <c r="C412" s="31"/>
      <c r="D412" s="31"/>
      <c r="E412" s="32"/>
    </row>
    <row r="413" spans="1:5">
      <c r="A413" s="15" t="s">
        <v>349</v>
      </c>
      <c r="B413" s="34">
        <v>238795</v>
      </c>
      <c r="C413" s="34"/>
      <c r="D413" s="34"/>
      <c r="E413" s="24"/>
    </row>
    <row r="414" spans="1:5">
      <c r="A414" s="11" t="s">
        <v>350</v>
      </c>
      <c r="B414" s="31">
        <v>15003.55</v>
      </c>
      <c r="C414" s="31"/>
      <c r="D414" s="31"/>
      <c r="E414" s="32"/>
    </row>
    <row r="415" spans="1:5">
      <c r="A415" s="15" t="s">
        <v>351</v>
      </c>
      <c r="B415" s="34">
        <v>15003.55</v>
      </c>
      <c r="C415" s="34"/>
      <c r="D415" s="34"/>
      <c r="E415" s="24"/>
    </row>
    <row r="416" spans="1:5">
      <c r="A416" s="11" t="s">
        <v>352</v>
      </c>
      <c r="B416" s="31">
        <v>1318149.68</v>
      </c>
      <c r="C416" s="31"/>
      <c r="D416" s="31"/>
      <c r="E416" s="32"/>
    </row>
    <row r="417" spans="1:5">
      <c r="A417" s="15" t="s">
        <v>353</v>
      </c>
      <c r="B417" s="34">
        <v>1318149.68</v>
      </c>
      <c r="C417" s="34"/>
      <c r="D417" s="34"/>
      <c r="E417" s="24"/>
    </row>
    <row r="418" spans="1:5" ht="28.5">
      <c r="A418" s="11" t="s">
        <v>354</v>
      </c>
      <c r="B418" s="31">
        <f>SUM(B419:B425)</f>
        <v>6757852.9799999995</v>
      </c>
      <c r="C418" s="31">
        <f t="shared" ref="C418:D418" si="21">SUM(C419:C425)</f>
        <v>6757852.9799999995</v>
      </c>
      <c r="D418" s="31">
        <f t="shared" si="21"/>
        <v>0</v>
      </c>
      <c r="E418" s="32"/>
    </row>
    <row r="419" spans="1:5">
      <c r="A419" s="15" t="s">
        <v>355</v>
      </c>
      <c r="B419" s="34">
        <v>5084170.5</v>
      </c>
      <c r="C419" s="34">
        <v>5084170.5</v>
      </c>
      <c r="D419" s="34"/>
      <c r="E419" s="24" t="s">
        <v>672</v>
      </c>
    </row>
    <row r="420" spans="1:5">
      <c r="A420" s="15" t="s">
        <v>356</v>
      </c>
      <c r="B420" s="34">
        <v>561740.43999999994</v>
      </c>
      <c r="C420" s="34">
        <v>561740.43999999994</v>
      </c>
      <c r="D420" s="34"/>
      <c r="E420" s="24" t="s">
        <v>672</v>
      </c>
    </row>
    <row r="421" spans="1:5">
      <c r="A421" s="15" t="s">
        <v>357</v>
      </c>
      <c r="B421" s="34">
        <v>181392.68</v>
      </c>
      <c r="C421" s="34">
        <v>181392.68</v>
      </c>
      <c r="D421" s="34"/>
      <c r="E421" s="24" t="s">
        <v>672</v>
      </c>
    </row>
    <row r="422" spans="1:5">
      <c r="A422" s="15" t="s">
        <v>358</v>
      </c>
      <c r="B422" s="34">
        <v>229729.04</v>
      </c>
      <c r="C422" s="34">
        <v>229729.04</v>
      </c>
      <c r="D422" s="34"/>
      <c r="E422" s="24" t="s">
        <v>672</v>
      </c>
    </row>
    <row r="423" spans="1:5">
      <c r="A423" s="15" t="s">
        <v>359</v>
      </c>
      <c r="B423" s="34">
        <v>184386.83</v>
      </c>
      <c r="C423" s="34">
        <v>184386.83</v>
      </c>
      <c r="D423" s="34"/>
      <c r="E423" s="24" t="s">
        <v>672</v>
      </c>
    </row>
    <row r="424" spans="1:5">
      <c r="A424" s="15" t="s">
        <v>360</v>
      </c>
      <c r="B424" s="34">
        <v>140053.34</v>
      </c>
      <c r="C424" s="34">
        <v>140053.34</v>
      </c>
      <c r="D424" s="34"/>
      <c r="E424" s="24" t="s">
        <v>672</v>
      </c>
    </row>
    <row r="425" spans="1:5">
      <c r="A425" s="15" t="s">
        <v>361</v>
      </c>
      <c r="B425" s="34">
        <v>376380.15</v>
      </c>
      <c r="C425" s="34">
        <v>376380.15</v>
      </c>
      <c r="D425" s="34"/>
      <c r="E425" s="24" t="s">
        <v>672</v>
      </c>
    </row>
    <row r="426" spans="1:5">
      <c r="A426" s="11" t="s">
        <v>362</v>
      </c>
      <c r="B426" s="31">
        <v>7627.26</v>
      </c>
      <c r="C426" s="31"/>
      <c r="D426" s="31"/>
      <c r="E426" s="32"/>
    </row>
    <row r="427" spans="1:5">
      <c r="A427" s="15" t="s">
        <v>363</v>
      </c>
      <c r="B427" s="34">
        <v>7627.26</v>
      </c>
      <c r="C427" s="34"/>
      <c r="D427" s="34"/>
      <c r="E427" s="24"/>
    </row>
    <row r="428" spans="1:5">
      <c r="A428" s="11" t="s">
        <v>364</v>
      </c>
      <c r="B428" s="31">
        <v>440000</v>
      </c>
      <c r="C428" s="31"/>
      <c r="D428" s="31"/>
      <c r="E428" s="32"/>
    </row>
    <row r="429" spans="1:5">
      <c r="A429" s="15" t="s">
        <v>365</v>
      </c>
      <c r="B429" s="34">
        <v>440000</v>
      </c>
      <c r="C429" s="34"/>
      <c r="D429" s="34"/>
      <c r="E429" s="24"/>
    </row>
    <row r="430" spans="1:5">
      <c r="A430" s="11" t="s">
        <v>366</v>
      </c>
      <c r="B430" s="31">
        <v>11648678.849999987</v>
      </c>
      <c r="C430" s="31"/>
      <c r="D430" s="31"/>
      <c r="E430" s="32"/>
    </row>
    <row r="431" spans="1:5" ht="30">
      <c r="A431" s="15" t="s">
        <v>367</v>
      </c>
      <c r="B431" s="34">
        <v>7016543.2799999863</v>
      </c>
      <c r="C431" s="34"/>
      <c r="D431" s="34"/>
      <c r="E431" s="24"/>
    </row>
    <row r="432" spans="1:5" ht="30">
      <c r="A432" s="15" t="s">
        <v>368</v>
      </c>
      <c r="B432" s="34">
        <v>4632135.57</v>
      </c>
      <c r="C432" s="34"/>
      <c r="D432" s="34"/>
      <c r="E432" s="24"/>
    </row>
    <row r="433" spans="1:5" ht="28.5">
      <c r="A433" s="13" t="s">
        <v>369</v>
      </c>
      <c r="B433" s="41">
        <f>B434+B436+B438+B440</f>
        <v>219340.72</v>
      </c>
      <c r="C433" s="41">
        <f t="shared" ref="C433:D433" si="22">C434+C436+C438+C440</f>
        <v>0</v>
      </c>
      <c r="D433" s="41">
        <f t="shared" si="22"/>
        <v>184867.14</v>
      </c>
      <c r="E433" s="10"/>
    </row>
    <row r="434" spans="1:5">
      <c r="A434" s="11" t="s">
        <v>370</v>
      </c>
      <c r="B434" s="31">
        <v>21000</v>
      </c>
      <c r="C434" s="31"/>
      <c r="D434" s="31"/>
      <c r="E434" s="32"/>
    </row>
    <row r="435" spans="1:5" ht="30">
      <c r="A435" s="15" t="s">
        <v>371</v>
      </c>
      <c r="B435" s="34">
        <v>21000</v>
      </c>
      <c r="C435" s="34"/>
      <c r="D435" s="34"/>
      <c r="E435" s="24"/>
    </row>
    <row r="436" spans="1:5">
      <c r="A436" s="11" t="s">
        <v>372</v>
      </c>
      <c r="B436" s="31">
        <v>6780</v>
      </c>
      <c r="C436" s="31"/>
      <c r="D436" s="31"/>
      <c r="E436" s="32"/>
    </row>
    <row r="437" spans="1:5">
      <c r="A437" s="15" t="s">
        <v>373</v>
      </c>
      <c r="B437" s="34">
        <v>6780</v>
      </c>
      <c r="C437" s="34"/>
      <c r="D437" s="34"/>
      <c r="E437" s="24"/>
    </row>
    <row r="438" spans="1:5">
      <c r="A438" s="11" t="s">
        <v>374</v>
      </c>
      <c r="B438" s="31">
        <v>9918.2199999999993</v>
      </c>
      <c r="C438" s="31"/>
      <c r="D438" s="31"/>
      <c r="E438" s="32"/>
    </row>
    <row r="439" spans="1:5" ht="30">
      <c r="A439" s="15" t="s">
        <v>375</v>
      </c>
      <c r="B439" s="34">
        <v>9918.2199999999993</v>
      </c>
      <c r="C439" s="34"/>
      <c r="D439" s="34"/>
      <c r="E439" s="24"/>
    </row>
    <row r="440" spans="1:5">
      <c r="A440" s="11" t="s">
        <v>376</v>
      </c>
      <c r="B440" s="31">
        <v>181642.5</v>
      </c>
      <c r="C440" s="31"/>
      <c r="D440" s="31">
        <f>D441</f>
        <v>184867.14</v>
      </c>
      <c r="E440" s="32"/>
    </row>
    <row r="441" spans="1:5" ht="30">
      <c r="A441" s="15" t="s">
        <v>377</v>
      </c>
      <c r="B441" s="34">
        <v>181642.5</v>
      </c>
      <c r="C441" s="34"/>
      <c r="D441" s="34">
        <v>184867.14</v>
      </c>
      <c r="E441" s="24" t="s">
        <v>651</v>
      </c>
    </row>
    <row r="442" spans="1:5">
      <c r="A442" s="14" t="s">
        <v>378</v>
      </c>
      <c r="B442" s="46">
        <f>B443+B445+B447</f>
        <v>799794.08000000007</v>
      </c>
      <c r="C442" s="46">
        <f t="shared" ref="C442:D442" si="23">C443+C445+C447</f>
        <v>0</v>
      </c>
      <c r="D442" s="46">
        <f t="shared" si="23"/>
        <v>0</v>
      </c>
      <c r="E442" s="45"/>
    </row>
    <row r="443" spans="1:5">
      <c r="A443" s="11" t="s">
        <v>379</v>
      </c>
      <c r="B443" s="31">
        <v>788063.27</v>
      </c>
      <c r="C443" s="31"/>
      <c r="D443" s="31"/>
      <c r="E443" s="32"/>
    </row>
    <row r="444" spans="1:5" ht="30">
      <c r="A444" s="15" t="s">
        <v>380</v>
      </c>
      <c r="B444" s="34">
        <v>788063.27</v>
      </c>
      <c r="C444" s="34"/>
      <c r="D444" s="34"/>
      <c r="E444" s="24"/>
    </row>
    <row r="445" spans="1:5">
      <c r="A445" s="11" t="s">
        <v>381</v>
      </c>
      <c r="B445" s="31">
        <v>9028.81</v>
      </c>
      <c r="C445" s="31"/>
      <c r="D445" s="31"/>
      <c r="E445" s="32"/>
    </row>
    <row r="446" spans="1:5">
      <c r="A446" s="15" t="s">
        <v>382</v>
      </c>
      <c r="B446" s="34">
        <v>9028.81</v>
      </c>
      <c r="C446" s="34"/>
      <c r="D446" s="34"/>
      <c r="E446" s="24"/>
    </row>
    <row r="447" spans="1:5">
      <c r="A447" s="11" t="s">
        <v>383</v>
      </c>
      <c r="B447" s="31">
        <v>2702</v>
      </c>
      <c r="C447" s="31"/>
      <c r="D447" s="31"/>
      <c r="E447" s="32"/>
    </row>
    <row r="448" spans="1:5" ht="30">
      <c r="A448" s="16" t="s">
        <v>384</v>
      </c>
      <c r="B448" s="38">
        <v>2702</v>
      </c>
      <c r="C448" s="38"/>
      <c r="D448" s="38"/>
      <c r="E448" s="39"/>
    </row>
    <row r="449" spans="1:5">
      <c r="A449" s="14" t="s">
        <v>385</v>
      </c>
      <c r="B449" s="46">
        <f>B450+B525+B574+B587+B592</f>
        <v>73026750.829999983</v>
      </c>
      <c r="C449" s="46">
        <f t="shared" ref="C449:D449" si="24">C450+C525+C574+C587+C592</f>
        <v>428234.93</v>
      </c>
      <c r="D449" s="46">
        <f t="shared" si="24"/>
        <v>11635396.66</v>
      </c>
      <c r="E449" s="45"/>
    </row>
    <row r="450" spans="1:5">
      <c r="A450" s="48" t="s">
        <v>386</v>
      </c>
      <c r="B450" s="49">
        <f>B451+B453+B455+B457+B459+B461+B463+B468+B477+B479+B486+B488+B490+B492+B497+B500+B502+B504+B506+B509+B511+B513+B515+B517+B519+B521+B523</f>
        <v>36449232.469999999</v>
      </c>
      <c r="C450" s="49">
        <f t="shared" ref="C450:D450" si="25">C451+C453+C455+C457+C459+C461+C463+C468+C477+C479+C486+C488+C490+C492+C497+C500+C502+C504+C506+C509+C511+C513+C515+C517+C519+C521+C523</f>
        <v>399460</v>
      </c>
      <c r="D450" s="49">
        <f t="shared" si="25"/>
        <v>1902070.7999999998</v>
      </c>
      <c r="E450" s="50"/>
    </row>
    <row r="451" spans="1:5">
      <c r="A451" s="11" t="s">
        <v>387</v>
      </c>
      <c r="B451" s="31">
        <v>34871.379999999997</v>
      </c>
      <c r="C451" s="31"/>
      <c r="D451" s="31"/>
      <c r="E451" s="32"/>
    </row>
    <row r="452" spans="1:5" ht="30">
      <c r="A452" s="15" t="s">
        <v>388</v>
      </c>
      <c r="B452" s="34">
        <v>34871.379999999997</v>
      </c>
      <c r="C452" s="34"/>
      <c r="D452" s="34"/>
      <c r="E452" s="24"/>
    </row>
    <row r="453" spans="1:5">
      <c r="A453" s="11" t="s">
        <v>389</v>
      </c>
      <c r="B453" s="31">
        <v>38000</v>
      </c>
      <c r="C453" s="31"/>
      <c r="D453" s="31"/>
      <c r="E453" s="32"/>
    </row>
    <row r="454" spans="1:5" ht="30">
      <c r="A454" s="15" t="s">
        <v>390</v>
      </c>
      <c r="B454" s="34">
        <v>38000</v>
      </c>
      <c r="C454" s="34"/>
      <c r="D454" s="34"/>
      <c r="E454" s="24"/>
    </row>
    <row r="455" spans="1:5">
      <c r="A455" s="11" t="s">
        <v>391</v>
      </c>
      <c r="B455" s="31">
        <v>330800</v>
      </c>
      <c r="C455" s="31">
        <v>330800</v>
      </c>
      <c r="D455" s="31"/>
      <c r="E455" s="32"/>
    </row>
    <row r="456" spans="1:5" ht="30">
      <c r="A456" s="15" t="s">
        <v>392</v>
      </c>
      <c r="B456" s="34">
        <v>330800</v>
      </c>
      <c r="C456" s="34">
        <v>330800</v>
      </c>
      <c r="D456" s="34"/>
      <c r="E456" s="24" t="s">
        <v>719</v>
      </c>
    </row>
    <row r="457" spans="1:5">
      <c r="A457" s="11" t="s">
        <v>393</v>
      </c>
      <c r="B457" s="31">
        <v>14322.17</v>
      </c>
      <c r="C457" s="31"/>
      <c r="D457" s="31"/>
      <c r="E457" s="32"/>
    </row>
    <row r="458" spans="1:5" ht="30">
      <c r="A458" s="15" t="s">
        <v>394</v>
      </c>
      <c r="B458" s="34">
        <v>14322.17</v>
      </c>
      <c r="C458" s="34"/>
      <c r="D458" s="34"/>
      <c r="E458" s="24"/>
    </row>
    <row r="459" spans="1:5">
      <c r="A459" s="11" t="s">
        <v>395</v>
      </c>
      <c r="B459" s="31">
        <v>79200</v>
      </c>
      <c r="C459" s="31"/>
      <c r="D459" s="31"/>
      <c r="E459" s="32"/>
    </row>
    <row r="460" spans="1:5" ht="30">
      <c r="A460" s="15" t="s">
        <v>396</v>
      </c>
      <c r="B460" s="34">
        <v>79200</v>
      </c>
      <c r="C460" s="34"/>
      <c r="D460" s="34"/>
      <c r="E460" s="24"/>
    </row>
    <row r="461" spans="1:5">
      <c r="A461" s="11" t="s">
        <v>397</v>
      </c>
      <c r="B461" s="31">
        <v>32985.119999999995</v>
      </c>
      <c r="C461" s="31"/>
      <c r="D461" s="31"/>
      <c r="E461" s="32"/>
    </row>
    <row r="462" spans="1:5" ht="30">
      <c r="A462" s="15" t="s">
        <v>398</v>
      </c>
      <c r="B462" s="34">
        <v>32985.119999999995</v>
      </c>
      <c r="C462" s="34"/>
      <c r="D462" s="34"/>
      <c r="E462" s="24"/>
    </row>
    <row r="463" spans="1:5">
      <c r="A463" s="11" t="s">
        <v>399</v>
      </c>
      <c r="B463" s="31">
        <v>741545.07</v>
      </c>
      <c r="C463" s="31"/>
      <c r="D463" s="31"/>
      <c r="E463" s="32"/>
    </row>
    <row r="464" spans="1:5">
      <c r="A464" s="15" t="s">
        <v>400</v>
      </c>
      <c r="B464" s="34">
        <v>63340.359999999986</v>
      </c>
      <c r="C464" s="34"/>
      <c r="D464" s="34"/>
      <c r="E464" s="24"/>
    </row>
    <row r="465" spans="1:5" ht="30">
      <c r="A465" s="15" t="s">
        <v>401</v>
      </c>
      <c r="B465" s="34">
        <v>163272.18</v>
      </c>
      <c r="C465" s="34"/>
      <c r="D465" s="34"/>
      <c r="E465" s="24"/>
    </row>
    <row r="466" spans="1:5" ht="30">
      <c r="A466" s="15" t="s">
        <v>402</v>
      </c>
      <c r="B466" s="34">
        <v>38491.300000000003</v>
      </c>
      <c r="C466" s="34"/>
      <c r="D466" s="34"/>
      <c r="E466" s="24"/>
    </row>
    <row r="467" spans="1:5" ht="30">
      <c r="A467" s="15" t="s">
        <v>403</v>
      </c>
      <c r="B467" s="34">
        <v>476441.23</v>
      </c>
      <c r="C467" s="34"/>
      <c r="D467" s="34"/>
      <c r="E467" s="24"/>
    </row>
    <row r="468" spans="1:5">
      <c r="A468" s="11" t="s">
        <v>404</v>
      </c>
      <c r="B468" s="31">
        <v>524862.28</v>
      </c>
      <c r="C468" s="31"/>
      <c r="D468" s="31"/>
      <c r="E468" s="32"/>
    </row>
    <row r="469" spans="1:5" ht="30">
      <c r="A469" s="15" t="s">
        <v>405</v>
      </c>
      <c r="B469" s="34">
        <v>3924.679999999993</v>
      </c>
      <c r="C469" s="34"/>
      <c r="D469" s="34"/>
      <c r="E469" s="24"/>
    </row>
    <row r="470" spans="1:5" ht="30">
      <c r="A470" s="15" t="s">
        <v>406</v>
      </c>
      <c r="B470" s="34">
        <f>564.86+282.28+772.61</f>
        <v>1619.75</v>
      </c>
      <c r="C470" s="34"/>
      <c r="D470" s="34"/>
      <c r="E470" s="24"/>
    </row>
    <row r="471" spans="1:5" ht="30">
      <c r="A471" s="15" t="s">
        <v>407</v>
      </c>
      <c r="B471" s="34">
        <v>34345</v>
      </c>
      <c r="C471" s="34"/>
      <c r="D471" s="34"/>
      <c r="E471" s="24"/>
    </row>
    <row r="472" spans="1:5">
      <c r="A472" s="15" t="s">
        <v>408</v>
      </c>
      <c r="B472" s="34">
        <v>32834.54</v>
      </c>
      <c r="C472" s="34"/>
      <c r="D472" s="34"/>
      <c r="E472" s="24"/>
    </row>
    <row r="473" spans="1:5" ht="30">
      <c r="A473" s="15" t="s">
        <v>409</v>
      </c>
      <c r="B473" s="34">
        <f>458.08+229.04+687.14</f>
        <v>1374.26</v>
      </c>
      <c r="C473" s="34"/>
      <c r="D473" s="34"/>
      <c r="E473" s="24"/>
    </row>
    <row r="474" spans="1:5">
      <c r="A474" s="15" t="s">
        <v>410</v>
      </c>
      <c r="B474" s="34">
        <v>107.61999999999995</v>
      </c>
      <c r="C474" s="34"/>
      <c r="D474" s="34"/>
      <c r="E474" s="24"/>
    </row>
    <row r="475" spans="1:5" ht="30">
      <c r="A475" s="15" t="s">
        <v>411</v>
      </c>
      <c r="B475" s="34">
        <f>663549.39+396553.89</f>
        <v>1060103.28</v>
      </c>
      <c r="C475" s="34"/>
      <c r="D475" s="34"/>
      <c r="E475" s="24"/>
    </row>
    <row r="476" spans="1:5">
      <c r="A476" s="15" t="s">
        <v>412</v>
      </c>
      <c r="B476" s="34">
        <v>10261.239999999998</v>
      </c>
      <c r="C476" s="34"/>
      <c r="D476" s="34"/>
      <c r="E476" s="24"/>
    </row>
    <row r="477" spans="1:5">
      <c r="A477" s="11" t="s">
        <v>413</v>
      </c>
      <c r="B477" s="31">
        <v>354114.16</v>
      </c>
      <c r="C477" s="31"/>
      <c r="D477" s="31"/>
      <c r="E477" s="32"/>
    </row>
    <row r="478" spans="1:5">
      <c r="A478" s="15" t="s">
        <v>414</v>
      </c>
      <c r="B478" s="34">
        <v>354114.16</v>
      </c>
      <c r="C478" s="34"/>
      <c r="D478" s="34"/>
      <c r="E478" s="24"/>
    </row>
    <row r="479" spans="1:5">
      <c r="A479" s="11" t="s">
        <v>415</v>
      </c>
      <c r="B479" s="31">
        <f>SUM(B480:B485)</f>
        <v>28665876.030000001</v>
      </c>
      <c r="C479" s="31">
        <f t="shared" ref="C479:D479" si="26">SUM(C480:C485)</f>
        <v>0</v>
      </c>
      <c r="D479" s="31">
        <f t="shared" si="26"/>
        <v>281460</v>
      </c>
      <c r="E479" s="32"/>
    </row>
    <row r="480" spans="1:5" ht="30">
      <c r="A480" s="15" t="s">
        <v>416</v>
      </c>
      <c r="B480" s="34">
        <v>299243.28000000003</v>
      </c>
      <c r="C480" s="34"/>
      <c r="D480" s="34"/>
      <c r="E480" s="24"/>
    </row>
    <row r="481" spans="1:5" ht="30">
      <c r="A481" s="15" t="s">
        <v>417</v>
      </c>
      <c r="B481" s="34">
        <v>255563.45999999973</v>
      </c>
      <c r="C481" s="34"/>
      <c r="D481" s="34"/>
      <c r="E481" s="24"/>
    </row>
    <row r="482" spans="1:5">
      <c r="A482" s="15" t="s">
        <v>418</v>
      </c>
      <c r="B482" s="34">
        <v>265351.89</v>
      </c>
      <c r="C482" s="34"/>
      <c r="D482" s="34"/>
      <c r="E482" s="24"/>
    </row>
    <row r="483" spans="1:5">
      <c r="A483" s="15" t="s">
        <v>419</v>
      </c>
      <c r="B483" s="34">
        <v>76942.549999999988</v>
      </c>
      <c r="C483" s="34"/>
      <c r="D483" s="34"/>
      <c r="E483" s="24"/>
    </row>
    <row r="484" spans="1:5">
      <c r="A484" s="15" t="s">
        <v>420</v>
      </c>
      <c r="B484" s="34">
        <v>27768774.850000001</v>
      </c>
      <c r="C484" s="34"/>
      <c r="D484" s="34"/>
      <c r="E484" s="24"/>
    </row>
    <row r="485" spans="1:5" ht="30">
      <c r="A485" s="15" t="s">
        <v>665</v>
      </c>
      <c r="B485" s="34"/>
      <c r="C485" s="34"/>
      <c r="D485" s="34">
        <f>273000+8460</f>
        <v>281460</v>
      </c>
      <c r="E485" s="24" t="s">
        <v>666</v>
      </c>
    </row>
    <row r="486" spans="1:5">
      <c r="A486" s="11" t="s">
        <v>421</v>
      </c>
      <c r="B486" s="31">
        <v>21393.4</v>
      </c>
      <c r="C486" s="31"/>
      <c r="D486" s="31"/>
      <c r="E486" s="32"/>
    </row>
    <row r="487" spans="1:5">
      <c r="A487" s="15" t="s">
        <v>422</v>
      </c>
      <c r="B487" s="34">
        <v>21393.4</v>
      </c>
      <c r="C487" s="34"/>
      <c r="D487" s="34"/>
      <c r="E487" s="24"/>
    </row>
    <row r="488" spans="1:5">
      <c r="A488" s="11" t="s">
        <v>423</v>
      </c>
      <c r="B488" s="31">
        <v>31206.190000000002</v>
      </c>
      <c r="C488" s="31"/>
      <c r="D488" s="31"/>
      <c r="E488" s="32"/>
    </row>
    <row r="489" spans="1:5">
      <c r="A489" s="15" t="s">
        <v>424</v>
      </c>
      <c r="B489" s="34">
        <v>31206.190000000002</v>
      </c>
      <c r="C489" s="34"/>
      <c r="D489" s="34"/>
      <c r="E489" s="24"/>
    </row>
    <row r="490" spans="1:5">
      <c r="A490" s="11" t="s">
        <v>425</v>
      </c>
      <c r="B490" s="31">
        <v>74200</v>
      </c>
      <c r="C490" s="31"/>
      <c r="D490" s="31"/>
      <c r="E490" s="32"/>
    </row>
    <row r="491" spans="1:5" ht="30">
      <c r="A491" s="15" t="s">
        <v>426</v>
      </c>
      <c r="B491" s="34">
        <v>74200</v>
      </c>
      <c r="C491" s="34"/>
      <c r="D491" s="34"/>
      <c r="E491" s="24"/>
    </row>
    <row r="492" spans="1:5">
      <c r="A492" s="11" t="s">
        <v>427</v>
      </c>
      <c r="B492" s="31">
        <v>1620610.7999999998</v>
      </c>
      <c r="C492" s="31"/>
      <c r="D492" s="31">
        <f>D493+D494+D495</f>
        <v>1620610.7999999998</v>
      </c>
      <c r="E492" s="32"/>
    </row>
    <row r="493" spans="1:5" ht="30">
      <c r="A493" s="15" t="s">
        <v>428</v>
      </c>
      <c r="B493" s="34">
        <v>876828.34</v>
      </c>
      <c r="C493" s="34"/>
      <c r="D493" s="34">
        <v>876828.34</v>
      </c>
      <c r="E493" s="24" t="s">
        <v>659</v>
      </c>
    </row>
    <row r="494" spans="1:5" ht="30">
      <c r="A494" s="15" t="s">
        <v>429</v>
      </c>
      <c r="B494" s="34">
        <v>89155.059999999983</v>
      </c>
      <c r="C494" s="34"/>
      <c r="D494" s="34">
        <v>89155.06</v>
      </c>
      <c r="E494" s="24" t="s">
        <v>659</v>
      </c>
    </row>
    <row r="495" spans="1:5" ht="30">
      <c r="A495" s="15" t="s">
        <v>430</v>
      </c>
      <c r="B495" s="34">
        <v>654627.39999999991</v>
      </c>
      <c r="C495" s="34"/>
      <c r="D495" s="34">
        <v>654627.4</v>
      </c>
      <c r="E495" s="24" t="s">
        <v>659</v>
      </c>
    </row>
    <row r="496" spans="1:5">
      <c r="A496" s="15" t="s">
        <v>660</v>
      </c>
      <c r="B496" s="34"/>
      <c r="C496" s="34"/>
      <c r="D496" s="34"/>
      <c r="E496" s="24"/>
    </row>
    <row r="497" spans="1:5">
      <c r="A497" s="11" t="s">
        <v>431</v>
      </c>
      <c r="B497" s="31">
        <v>954572.38</v>
      </c>
      <c r="C497" s="31"/>
      <c r="D497" s="31"/>
      <c r="E497" s="32"/>
    </row>
    <row r="498" spans="1:5" ht="30">
      <c r="A498" s="15" t="s">
        <v>432</v>
      </c>
      <c r="B498" s="34">
        <v>551961.46</v>
      </c>
      <c r="C498" s="34"/>
      <c r="D498" s="34"/>
      <c r="E498" s="24"/>
    </row>
    <row r="499" spans="1:5">
      <c r="A499" s="15" t="s">
        <v>433</v>
      </c>
      <c r="B499" s="34">
        <v>402610.92000000004</v>
      </c>
      <c r="C499" s="34"/>
      <c r="D499" s="34"/>
      <c r="E499" s="24"/>
    </row>
    <row r="500" spans="1:5">
      <c r="A500" s="11" t="s">
        <v>434</v>
      </c>
      <c r="B500" s="31">
        <v>18992</v>
      </c>
      <c r="C500" s="31"/>
      <c r="D500" s="31"/>
      <c r="E500" s="32"/>
    </row>
    <row r="501" spans="1:5">
      <c r="A501" s="15" t="s">
        <v>435</v>
      </c>
      <c r="B501" s="34">
        <v>18992</v>
      </c>
      <c r="C501" s="34"/>
      <c r="D501" s="34"/>
      <c r="E501" s="24"/>
    </row>
    <row r="502" spans="1:5">
      <c r="A502" s="11" t="s">
        <v>436</v>
      </c>
      <c r="B502" s="31">
        <v>25620</v>
      </c>
      <c r="C502" s="31"/>
      <c r="D502" s="31"/>
      <c r="E502" s="32"/>
    </row>
    <row r="503" spans="1:5" ht="30">
      <c r="A503" s="15" t="s">
        <v>437</v>
      </c>
      <c r="B503" s="34">
        <v>25620</v>
      </c>
      <c r="C503" s="34"/>
      <c r="D503" s="34"/>
      <c r="E503" s="24"/>
    </row>
    <row r="504" spans="1:5">
      <c r="A504" s="11" t="s">
        <v>438</v>
      </c>
      <c r="B504" s="31">
        <v>4875.25</v>
      </c>
      <c r="C504" s="31"/>
      <c r="D504" s="31"/>
      <c r="E504" s="32"/>
    </row>
    <row r="505" spans="1:5">
      <c r="A505" s="15" t="s">
        <v>439</v>
      </c>
      <c r="B505" s="34">
        <v>4875.25</v>
      </c>
      <c r="C505" s="34"/>
      <c r="D505" s="34"/>
      <c r="E505" s="24"/>
    </row>
    <row r="506" spans="1:5">
      <c r="A506" s="11" t="s">
        <v>440</v>
      </c>
      <c r="B506" s="31">
        <f>SUM(B507:B508)</f>
        <v>2340547.41</v>
      </c>
      <c r="C506" s="31">
        <f>C507+C508</f>
        <v>0</v>
      </c>
      <c r="D506" s="47">
        <f>D507+D508</f>
        <v>0</v>
      </c>
      <c r="E506" s="32"/>
    </row>
    <row r="507" spans="1:5" ht="30">
      <c r="A507" s="15" t="s">
        <v>441</v>
      </c>
      <c r="B507" s="34">
        <v>2330547.41</v>
      </c>
      <c r="C507" s="34"/>
      <c r="D507" s="34"/>
      <c r="E507" s="24"/>
    </row>
    <row r="508" spans="1:5">
      <c r="A508" s="15" t="s">
        <v>634</v>
      </c>
      <c r="B508" s="34">
        <v>10000</v>
      </c>
      <c r="C508" s="34"/>
      <c r="D508" s="34"/>
      <c r="E508" s="24"/>
    </row>
    <row r="509" spans="1:5">
      <c r="A509" s="11" t="s">
        <v>442</v>
      </c>
      <c r="B509" s="31">
        <v>192290</v>
      </c>
      <c r="C509" s="31"/>
      <c r="D509" s="31"/>
      <c r="E509" s="32"/>
    </row>
    <row r="510" spans="1:5">
      <c r="A510" s="15" t="s">
        <v>443</v>
      </c>
      <c r="B510" s="34">
        <v>192290</v>
      </c>
      <c r="C510" s="34"/>
      <c r="D510" s="34"/>
      <c r="E510" s="24"/>
    </row>
    <row r="511" spans="1:5">
      <c r="A511" s="11" t="s">
        <v>63</v>
      </c>
      <c r="B511" s="31">
        <v>55649.860000000008</v>
      </c>
      <c r="C511" s="31"/>
      <c r="D511" s="31"/>
      <c r="E511" s="32"/>
    </row>
    <row r="512" spans="1:5">
      <c r="A512" s="15" t="s">
        <v>64</v>
      </c>
      <c r="B512" s="34">
        <v>55649.860000000008</v>
      </c>
      <c r="C512" s="34"/>
      <c r="D512" s="34"/>
      <c r="E512" s="24"/>
    </row>
    <row r="513" spans="1:5">
      <c r="A513" s="11" t="s">
        <v>65</v>
      </c>
      <c r="B513" s="31">
        <v>5906.32</v>
      </c>
      <c r="C513" s="31"/>
      <c r="D513" s="31"/>
      <c r="E513" s="32"/>
    </row>
    <row r="514" spans="1:5" ht="30">
      <c r="A514" s="15" t="s">
        <v>66</v>
      </c>
      <c r="B514" s="34">
        <v>5906.32</v>
      </c>
      <c r="C514" s="34"/>
      <c r="D514" s="34"/>
      <c r="E514" s="24"/>
    </row>
    <row r="515" spans="1:5">
      <c r="A515" s="11" t="s">
        <v>67</v>
      </c>
      <c r="B515" s="31">
        <v>63568.57</v>
      </c>
      <c r="C515" s="31"/>
      <c r="D515" s="31"/>
      <c r="E515" s="32"/>
    </row>
    <row r="516" spans="1:5">
      <c r="A516" s="15" t="s">
        <v>68</v>
      </c>
      <c r="B516" s="34">
        <v>63568.57</v>
      </c>
      <c r="C516" s="34"/>
      <c r="D516" s="34"/>
      <c r="E516" s="24"/>
    </row>
    <row r="517" spans="1:5">
      <c r="A517" s="11" t="s">
        <v>444</v>
      </c>
      <c r="B517" s="31">
        <v>68660</v>
      </c>
      <c r="C517" s="31">
        <v>68660</v>
      </c>
      <c r="D517" s="31"/>
      <c r="E517" s="32"/>
    </row>
    <row r="518" spans="1:5">
      <c r="A518" s="15" t="s">
        <v>445</v>
      </c>
      <c r="B518" s="34">
        <v>68660</v>
      </c>
      <c r="C518" s="38">
        <v>68660</v>
      </c>
      <c r="D518" s="38"/>
      <c r="E518" s="39" t="s">
        <v>626</v>
      </c>
    </row>
    <row r="519" spans="1:5">
      <c r="A519" s="11" t="s">
        <v>446</v>
      </c>
      <c r="B519" s="31">
        <v>548</v>
      </c>
      <c r="C519" s="31"/>
      <c r="D519" s="31"/>
      <c r="E519" s="32"/>
    </row>
    <row r="520" spans="1:5">
      <c r="A520" s="15" t="s">
        <v>447</v>
      </c>
      <c r="B520" s="34">
        <v>548</v>
      </c>
      <c r="C520" s="34"/>
      <c r="D520" s="34"/>
      <c r="E520" s="24"/>
    </row>
    <row r="521" spans="1:5">
      <c r="A521" s="11" t="s">
        <v>448</v>
      </c>
      <c r="B521" s="31">
        <v>104942.08</v>
      </c>
      <c r="C521" s="31"/>
      <c r="D521" s="31"/>
      <c r="E521" s="32"/>
    </row>
    <row r="522" spans="1:5">
      <c r="A522" s="15" t="s">
        <v>449</v>
      </c>
      <c r="B522" s="34">
        <v>104942.08</v>
      </c>
      <c r="C522" s="34"/>
      <c r="D522" s="34"/>
      <c r="E522" s="24"/>
    </row>
    <row r="523" spans="1:5">
      <c r="A523" s="11" t="s">
        <v>450</v>
      </c>
      <c r="B523" s="31">
        <v>49074</v>
      </c>
      <c r="C523" s="31"/>
      <c r="D523" s="31"/>
      <c r="E523" s="32"/>
    </row>
    <row r="524" spans="1:5">
      <c r="A524" s="15" t="s">
        <v>451</v>
      </c>
      <c r="B524" s="34">
        <v>49074</v>
      </c>
      <c r="C524" s="34"/>
      <c r="D524" s="34"/>
      <c r="E524" s="24"/>
    </row>
    <row r="525" spans="1:5">
      <c r="A525" s="48" t="s">
        <v>452</v>
      </c>
      <c r="B525" s="49">
        <f>B526+B528+B530+B532+B534+B536+B539+B541+B544+B546+B548+B556+B558+B560+B563+B565+B568+B570+B572</f>
        <v>1644245.1600000001</v>
      </c>
      <c r="C525" s="49">
        <f t="shared" ref="C525:D525" si="27">C526+C528+C530+C532+C534+C536+C539+C541+C544+C546+C548+C556+C558+C560+C563+C565+C568+C570+C572</f>
        <v>0</v>
      </c>
      <c r="D525" s="49">
        <f t="shared" si="27"/>
        <v>0</v>
      </c>
      <c r="E525" s="50"/>
    </row>
    <row r="526" spans="1:5">
      <c r="A526" s="11" t="s">
        <v>453</v>
      </c>
      <c r="B526" s="31">
        <v>67425</v>
      </c>
      <c r="C526" s="31"/>
      <c r="D526" s="31"/>
      <c r="E526" s="32"/>
    </row>
    <row r="527" spans="1:5">
      <c r="A527" s="15" t="s">
        <v>454</v>
      </c>
      <c r="B527" s="34">
        <v>67425</v>
      </c>
      <c r="C527" s="34"/>
      <c r="D527" s="34"/>
      <c r="E527" s="24"/>
    </row>
    <row r="528" spans="1:5">
      <c r="A528" s="11" t="s">
        <v>455</v>
      </c>
      <c r="B528" s="31">
        <v>3238</v>
      </c>
      <c r="C528" s="31"/>
      <c r="D528" s="31"/>
      <c r="E528" s="32"/>
    </row>
    <row r="529" spans="1:5">
      <c r="A529" s="15" t="s">
        <v>456</v>
      </c>
      <c r="B529" s="34">
        <v>3238</v>
      </c>
      <c r="C529" s="34"/>
      <c r="D529" s="34"/>
      <c r="E529" s="24"/>
    </row>
    <row r="530" spans="1:5">
      <c r="A530" s="11" t="s">
        <v>457</v>
      </c>
      <c r="B530" s="31">
        <v>134900</v>
      </c>
      <c r="C530" s="31"/>
      <c r="D530" s="31"/>
      <c r="E530" s="32"/>
    </row>
    <row r="531" spans="1:5" ht="30">
      <c r="A531" s="15" t="s">
        <v>458</v>
      </c>
      <c r="B531" s="34">
        <v>134900</v>
      </c>
      <c r="C531" s="34"/>
      <c r="D531" s="34"/>
      <c r="E531" s="24"/>
    </row>
    <row r="532" spans="1:5">
      <c r="A532" s="11" t="s">
        <v>459</v>
      </c>
      <c r="B532" s="31">
        <v>700000</v>
      </c>
      <c r="C532" s="31"/>
      <c r="D532" s="31"/>
      <c r="E532" s="32"/>
    </row>
    <row r="533" spans="1:5">
      <c r="A533" s="15" t="s">
        <v>460</v>
      </c>
      <c r="B533" s="34">
        <v>700000</v>
      </c>
      <c r="C533" s="34"/>
      <c r="D533" s="34"/>
      <c r="E533" s="24"/>
    </row>
    <row r="534" spans="1:5">
      <c r="A534" s="11" t="s">
        <v>461</v>
      </c>
      <c r="B534" s="31">
        <v>5072</v>
      </c>
      <c r="C534" s="31"/>
      <c r="D534" s="31"/>
      <c r="E534" s="32"/>
    </row>
    <row r="535" spans="1:5" ht="30">
      <c r="A535" s="15" t="s">
        <v>462</v>
      </c>
      <c r="B535" s="34">
        <v>5072</v>
      </c>
      <c r="C535" s="34"/>
      <c r="D535" s="34"/>
      <c r="E535" s="24"/>
    </row>
    <row r="536" spans="1:5">
      <c r="A536" s="11" t="s">
        <v>463</v>
      </c>
      <c r="B536" s="31">
        <v>216297.47999999998</v>
      </c>
      <c r="C536" s="31"/>
      <c r="D536" s="31"/>
      <c r="E536" s="32"/>
    </row>
    <row r="537" spans="1:5" ht="30">
      <c r="A537" s="15" t="s">
        <v>464</v>
      </c>
      <c r="B537" s="34">
        <v>60697.96</v>
      </c>
      <c r="C537" s="34"/>
      <c r="D537" s="34"/>
      <c r="E537" s="24"/>
    </row>
    <row r="538" spans="1:5">
      <c r="A538" s="15" t="s">
        <v>465</v>
      </c>
      <c r="B538" s="34">
        <v>155599.51999999999</v>
      </c>
      <c r="C538" s="34"/>
      <c r="D538" s="34"/>
      <c r="E538" s="24"/>
    </row>
    <row r="539" spans="1:5">
      <c r="A539" s="11" t="s">
        <v>466</v>
      </c>
      <c r="B539" s="31">
        <v>9294.6200000000008</v>
      </c>
      <c r="C539" s="31"/>
      <c r="D539" s="31"/>
      <c r="E539" s="32"/>
    </row>
    <row r="540" spans="1:5" ht="30">
      <c r="A540" s="15" t="s">
        <v>467</v>
      </c>
      <c r="B540" s="34">
        <v>9294.6200000000008</v>
      </c>
      <c r="C540" s="34"/>
      <c r="D540" s="34"/>
      <c r="E540" s="24"/>
    </row>
    <row r="541" spans="1:5">
      <c r="A541" s="11" t="s">
        <v>468</v>
      </c>
      <c r="B541" s="31">
        <v>43900</v>
      </c>
      <c r="C541" s="31"/>
      <c r="D541" s="31"/>
      <c r="E541" s="32"/>
    </row>
    <row r="542" spans="1:5" ht="30">
      <c r="A542" s="15" t="s">
        <v>469</v>
      </c>
      <c r="B542" s="34">
        <v>19100</v>
      </c>
      <c r="C542" s="34"/>
      <c r="D542" s="34"/>
      <c r="E542" s="24"/>
    </row>
    <row r="543" spans="1:5" ht="30">
      <c r="A543" s="15" t="s">
        <v>470</v>
      </c>
      <c r="B543" s="34">
        <v>24800</v>
      </c>
      <c r="C543" s="34"/>
      <c r="D543" s="34"/>
      <c r="E543" s="24"/>
    </row>
    <row r="544" spans="1:5">
      <c r="A544" s="11" t="s">
        <v>471</v>
      </c>
      <c r="B544" s="31">
        <v>990</v>
      </c>
      <c r="C544" s="31"/>
      <c r="D544" s="31"/>
      <c r="E544" s="32"/>
    </row>
    <row r="545" spans="1:5">
      <c r="A545" s="15" t="s">
        <v>472</v>
      </c>
      <c r="B545" s="34">
        <v>990</v>
      </c>
      <c r="C545" s="34"/>
      <c r="D545" s="34"/>
      <c r="E545" s="24"/>
    </row>
    <row r="546" spans="1:5">
      <c r="A546" s="11" t="s">
        <v>473</v>
      </c>
      <c r="B546" s="31">
        <v>7375</v>
      </c>
      <c r="C546" s="31"/>
      <c r="D546" s="31"/>
      <c r="E546" s="32"/>
    </row>
    <row r="547" spans="1:5" ht="30">
      <c r="A547" s="15" t="s">
        <v>474</v>
      </c>
      <c r="B547" s="34">
        <v>7375</v>
      </c>
      <c r="C547" s="34"/>
      <c r="D547" s="34"/>
      <c r="E547" s="24"/>
    </row>
    <row r="548" spans="1:5">
      <c r="A548" s="11" t="s">
        <v>475</v>
      </c>
      <c r="B548" s="31">
        <v>358572.04000000004</v>
      </c>
      <c r="C548" s="31"/>
      <c r="D548" s="31"/>
      <c r="E548" s="32"/>
    </row>
    <row r="549" spans="1:5" ht="30">
      <c r="A549" s="15" t="s">
        <v>476</v>
      </c>
      <c r="B549" s="34">
        <v>9982.17</v>
      </c>
      <c r="C549" s="34"/>
      <c r="D549" s="34"/>
      <c r="E549" s="24"/>
    </row>
    <row r="550" spans="1:5" ht="30">
      <c r="A550" s="15" t="s">
        <v>477</v>
      </c>
      <c r="B550" s="34">
        <v>45363.59</v>
      </c>
      <c r="C550" s="34"/>
      <c r="D550" s="34"/>
      <c r="E550" s="24"/>
    </row>
    <row r="551" spans="1:5" ht="30">
      <c r="A551" s="15" t="s">
        <v>478</v>
      </c>
      <c r="B551" s="34">
        <v>61617.91</v>
      </c>
      <c r="C551" s="34"/>
      <c r="D551" s="34"/>
      <c r="E551" s="24"/>
    </row>
    <row r="552" spans="1:5">
      <c r="A552" s="15" t="s">
        <v>479</v>
      </c>
      <c r="B552" s="34">
        <v>18362.68</v>
      </c>
      <c r="C552" s="34"/>
      <c r="D552" s="34"/>
      <c r="E552" s="24"/>
    </row>
    <row r="553" spans="1:5" ht="30">
      <c r="A553" s="15" t="s">
        <v>480</v>
      </c>
      <c r="B553" s="34">
        <v>31080.18</v>
      </c>
      <c r="C553" s="34"/>
      <c r="D553" s="34"/>
      <c r="E553" s="24"/>
    </row>
    <row r="554" spans="1:5" ht="30">
      <c r="A554" s="15" t="s">
        <v>481</v>
      </c>
      <c r="B554" s="34">
        <v>416.34</v>
      </c>
      <c r="C554" s="34"/>
      <c r="D554" s="34"/>
      <c r="E554" s="24"/>
    </row>
    <row r="555" spans="1:5" ht="30">
      <c r="A555" s="15" t="s">
        <v>482</v>
      </c>
      <c r="B555" s="34">
        <v>191749.17</v>
      </c>
      <c r="C555" s="34"/>
      <c r="D555" s="34"/>
      <c r="E555" s="24"/>
    </row>
    <row r="556" spans="1:5">
      <c r="A556" s="11" t="s">
        <v>483</v>
      </c>
      <c r="B556" s="31">
        <v>4703.59</v>
      </c>
      <c r="C556" s="31"/>
      <c r="D556" s="31"/>
      <c r="E556" s="32"/>
    </row>
    <row r="557" spans="1:5" ht="30">
      <c r="A557" s="15" t="s">
        <v>484</v>
      </c>
      <c r="B557" s="34">
        <v>4703.59</v>
      </c>
      <c r="C557" s="34"/>
      <c r="D557" s="34"/>
      <c r="E557" s="24"/>
    </row>
    <row r="558" spans="1:5">
      <c r="A558" s="11" t="s">
        <v>485</v>
      </c>
      <c r="B558" s="31">
        <v>10900</v>
      </c>
      <c r="C558" s="31"/>
      <c r="D558" s="31"/>
      <c r="E558" s="32"/>
    </row>
    <row r="559" spans="1:5" ht="30">
      <c r="A559" s="15" t="s">
        <v>486</v>
      </c>
      <c r="B559" s="34">
        <v>10900</v>
      </c>
      <c r="C559" s="34"/>
      <c r="D559" s="34"/>
      <c r="E559" s="24"/>
    </row>
    <row r="560" spans="1:5">
      <c r="A560" s="11" t="s">
        <v>487</v>
      </c>
      <c r="B560" s="31">
        <v>16679.2</v>
      </c>
      <c r="C560" s="31"/>
      <c r="D560" s="31"/>
      <c r="E560" s="32"/>
    </row>
    <row r="561" spans="1:5">
      <c r="A561" s="15" t="s">
        <v>488</v>
      </c>
      <c r="B561" s="34">
        <v>1469.2</v>
      </c>
      <c r="C561" s="34"/>
      <c r="D561" s="34"/>
      <c r="E561" s="24"/>
    </row>
    <row r="562" spans="1:5">
      <c r="A562" s="15" t="s">
        <v>489</v>
      </c>
      <c r="B562" s="34">
        <v>15210</v>
      </c>
      <c r="C562" s="34"/>
      <c r="D562" s="34"/>
      <c r="E562" s="24"/>
    </row>
    <row r="563" spans="1:5">
      <c r="A563" s="11" t="s">
        <v>490</v>
      </c>
      <c r="B563" s="31">
        <v>25800</v>
      </c>
      <c r="C563" s="31"/>
      <c r="D563" s="31"/>
      <c r="E563" s="32"/>
    </row>
    <row r="564" spans="1:5" ht="30">
      <c r="A564" s="15" t="s">
        <v>491</v>
      </c>
      <c r="B564" s="34">
        <v>25800</v>
      </c>
      <c r="C564" s="34"/>
      <c r="D564" s="34"/>
      <c r="E564" s="24"/>
    </row>
    <row r="565" spans="1:5">
      <c r="A565" s="11" t="s">
        <v>492</v>
      </c>
      <c r="B565" s="31">
        <v>30501.26</v>
      </c>
      <c r="C565" s="31"/>
      <c r="D565" s="31"/>
      <c r="E565" s="32"/>
    </row>
    <row r="566" spans="1:5">
      <c r="A566" s="15" t="s">
        <v>493</v>
      </c>
      <c r="B566" s="34">
        <v>1050</v>
      </c>
      <c r="C566" s="34"/>
      <c r="D566" s="34"/>
      <c r="E566" s="24"/>
    </row>
    <row r="567" spans="1:5" ht="30">
      <c r="A567" s="15" t="s">
        <v>494</v>
      </c>
      <c r="B567" s="34">
        <v>29451.26</v>
      </c>
      <c r="C567" s="34"/>
      <c r="D567" s="34"/>
      <c r="E567" s="24"/>
    </row>
    <row r="568" spans="1:5">
      <c r="A568" s="11" t="s">
        <v>495</v>
      </c>
      <c r="B568" s="31">
        <v>2096.9699999999998</v>
      </c>
      <c r="C568" s="31"/>
      <c r="D568" s="31"/>
      <c r="E568" s="32"/>
    </row>
    <row r="569" spans="1:5">
      <c r="A569" s="15" t="s">
        <v>496</v>
      </c>
      <c r="B569" s="34">
        <v>2096.9699999999998</v>
      </c>
      <c r="C569" s="34"/>
      <c r="D569" s="34"/>
      <c r="E569" s="24"/>
    </row>
    <row r="570" spans="1:5">
      <c r="A570" s="11" t="s">
        <v>497</v>
      </c>
      <c r="B570" s="31">
        <v>800</v>
      </c>
      <c r="C570" s="31"/>
      <c r="D570" s="31"/>
      <c r="E570" s="32"/>
    </row>
    <row r="571" spans="1:5" ht="30">
      <c r="A571" s="15" t="s">
        <v>498</v>
      </c>
      <c r="B571" s="34">
        <v>800</v>
      </c>
      <c r="C571" s="34"/>
      <c r="D571" s="34"/>
      <c r="E571" s="24"/>
    </row>
    <row r="572" spans="1:5">
      <c r="A572" s="11" t="s">
        <v>499</v>
      </c>
      <c r="B572" s="31">
        <v>5700</v>
      </c>
      <c r="C572" s="31"/>
      <c r="D572" s="31"/>
      <c r="E572" s="32"/>
    </row>
    <row r="573" spans="1:5">
      <c r="A573" s="15" t="s">
        <v>500</v>
      </c>
      <c r="B573" s="34">
        <v>5700</v>
      </c>
      <c r="C573" s="34"/>
      <c r="D573" s="34"/>
      <c r="E573" s="24"/>
    </row>
    <row r="574" spans="1:5">
      <c r="A574" s="13" t="s">
        <v>501</v>
      </c>
      <c r="B574" s="41">
        <f>B575+B577+B579+B581+B583+B585</f>
        <v>432876.76</v>
      </c>
      <c r="C574" s="41">
        <f t="shared" ref="C574:D574" si="28">C575+C577+C579+C581+C583+C585</f>
        <v>28774.93</v>
      </c>
      <c r="D574" s="41">
        <f t="shared" si="28"/>
        <v>28774.93</v>
      </c>
      <c r="E574" s="10"/>
    </row>
    <row r="575" spans="1:5">
      <c r="A575" s="11" t="s">
        <v>502</v>
      </c>
      <c r="B575" s="31">
        <v>50157.5</v>
      </c>
      <c r="C575" s="31"/>
      <c r="D575" s="31"/>
      <c r="E575" s="32"/>
    </row>
    <row r="576" spans="1:5" ht="30">
      <c r="A576" s="15" t="s">
        <v>503</v>
      </c>
      <c r="B576" s="34">
        <v>50157.5</v>
      </c>
      <c r="C576" s="34"/>
      <c r="D576" s="34"/>
      <c r="E576" s="24"/>
    </row>
    <row r="577" spans="1:5">
      <c r="A577" s="11" t="s">
        <v>504</v>
      </c>
      <c r="B577" s="31">
        <v>26774.929999999993</v>
      </c>
      <c r="C577" s="31">
        <f>SUM(C578)</f>
        <v>28774.93</v>
      </c>
      <c r="D577" s="31">
        <f>SUM(D578)</f>
        <v>28774.93</v>
      </c>
      <c r="E577" s="32"/>
    </row>
    <row r="578" spans="1:5" ht="45">
      <c r="A578" s="15" t="s">
        <v>505</v>
      </c>
      <c r="B578" s="34">
        <v>26774.929999999993</v>
      </c>
      <c r="C578" s="38">
        <f>26774.93+2000</f>
        <v>28774.93</v>
      </c>
      <c r="D578" s="38">
        <f>26774.93+2000</f>
        <v>28774.93</v>
      </c>
      <c r="E578" s="39" t="s">
        <v>627</v>
      </c>
    </row>
    <row r="579" spans="1:5">
      <c r="A579" s="11" t="s">
        <v>506</v>
      </c>
      <c r="B579" s="31">
        <v>10000</v>
      </c>
      <c r="C579" s="31"/>
      <c r="D579" s="31"/>
      <c r="E579" s="32"/>
    </row>
    <row r="580" spans="1:5">
      <c r="A580" s="15" t="s">
        <v>507</v>
      </c>
      <c r="B580" s="34">
        <v>10000</v>
      </c>
      <c r="C580" s="34"/>
      <c r="D580" s="34"/>
      <c r="E580" s="24"/>
    </row>
    <row r="581" spans="1:5">
      <c r="A581" s="11" t="s">
        <v>508</v>
      </c>
      <c r="B581" s="31">
        <v>84992.08</v>
      </c>
      <c r="C581" s="31"/>
      <c r="D581" s="31"/>
      <c r="E581" s="32"/>
    </row>
    <row r="582" spans="1:5" ht="30">
      <c r="A582" s="15" t="s">
        <v>509</v>
      </c>
      <c r="B582" s="34">
        <v>84992.08</v>
      </c>
      <c r="C582" s="34"/>
      <c r="D582" s="34"/>
      <c r="E582" s="24"/>
    </row>
    <row r="583" spans="1:5">
      <c r="A583" s="11" t="s">
        <v>510</v>
      </c>
      <c r="B583" s="31">
        <v>552.25</v>
      </c>
      <c r="C583" s="31"/>
      <c r="D583" s="31"/>
      <c r="E583" s="32"/>
    </row>
    <row r="584" spans="1:5" ht="30">
      <c r="A584" s="15" t="s">
        <v>511</v>
      </c>
      <c r="B584" s="34">
        <v>552.25</v>
      </c>
      <c r="C584" s="34"/>
      <c r="D584" s="34"/>
      <c r="E584" s="24"/>
    </row>
    <row r="585" spans="1:5">
      <c r="A585" s="11" t="s">
        <v>512</v>
      </c>
      <c r="B585" s="31">
        <v>260400</v>
      </c>
      <c r="C585" s="31"/>
      <c r="D585" s="31"/>
      <c r="E585" s="32"/>
    </row>
    <row r="586" spans="1:5">
      <c r="A586" s="15" t="s">
        <v>513</v>
      </c>
      <c r="B586" s="34">
        <v>260400</v>
      </c>
      <c r="C586" s="34"/>
      <c r="D586" s="34"/>
      <c r="E586" s="24"/>
    </row>
    <row r="587" spans="1:5">
      <c r="A587" s="48" t="s">
        <v>514</v>
      </c>
      <c r="B587" s="49">
        <f>B588+B590</f>
        <v>1514952</v>
      </c>
      <c r="C587" s="49">
        <f t="shared" ref="C587:D587" si="29">C588+C590</f>
        <v>0</v>
      </c>
      <c r="D587" s="49">
        <f t="shared" si="29"/>
        <v>0</v>
      </c>
      <c r="E587" s="50"/>
    </row>
    <row r="588" spans="1:5">
      <c r="A588" s="11" t="s">
        <v>515</v>
      </c>
      <c r="B588" s="31">
        <v>1808</v>
      </c>
      <c r="C588" s="31"/>
      <c r="D588" s="31"/>
      <c r="E588" s="32"/>
    </row>
    <row r="589" spans="1:5" ht="30">
      <c r="A589" s="15" t="s">
        <v>516</v>
      </c>
      <c r="B589" s="34">
        <v>1808</v>
      </c>
      <c r="C589" s="34"/>
      <c r="D589" s="34"/>
      <c r="E589" s="24"/>
    </row>
    <row r="590" spans="1:5">
      <c r="A590" s="11" t="s">
        <v>517</v>
      </c>
      <c r="B590" s="31">
        <v>1513144</v>
      </c>
      <c r="C590" s="31"/>
      <c r="D590" s="31"/>
      <c r="E590" s="32"/>
    </row>
    <row r="591" spans="1:5" ht="30">
      <c r="A591" s="15" t="s">
        <v>518</v>
      </c>
      <c r="B591" s="34">
        <v>1513144</v>
      </c>
      <c r="C591" s="34"/>
      <c r="D591" s="34"/>
      <c r="E591" s="24"/>
    </row>
    <row r="592" spans="1:5">
      <c r="A592" s="48" t="s">
        <v>519</v>
      </c>
      <c r="B592" s="49">
        <f>B593+B595+B600+B602+B606</f>
        <v>32985444.439999998</v>
      </c>
      <c r="C592" s="49">
        <f t="shared" ref="C592:D592" si="30">C593+C595+C600+C602+C606</f>
        <v>0</v>
      </c>
      <c r="D592" s="49">
        <f t="shared" si="30"/>
        <v>9704550.9299999997</v>
      </c>
      <c r="E592" s="50"/>
    </row>
    <row r="593" spans="1:5">
      <c r="A593" s="11" t="s">
        <v>520</v>
      </c>
      <c r="B593" s="31">
        <f>B594</f>
        <v>5297685.5999999996</v>
      </c>
      <c r="C593" s="31"/>
      <c r="D593" s="31">
        <f t="shared" ref="D593" si="31">D594</f>
        <v>5297685.5999999996</v>
      </c>
      <c r="E593" s="32"/>
    </row>
    <row r="594" spans="1:5" ht="30">
      <c r="A594" s="15" t="s">
        <v>521</v>
      </c>
      <c r="B594" s="34">
        <v>5297685.5999999996</v>
      </c>
      <c r="C594" s="34"/>
      <c r="D594" s="38">
        <v>5297685.5999999996</v>
      </c>
      <c r="E594" s="39" t="s">
        <v>628</v>
      </c>
    </row>
    <row r="595" spans="1:5">
      <c r="A595" s="11" t="s">
        <v>522</v>
      </c>
      <c r="B595" s="31">
        <v>9735607.7599999998</v>
      </c>
      <c r="C595" s="31"/>
      <c r="D595" s="31"/>
      <c r="E595" s="32"/>
    </row>
    <row r="596" spans="1:5" ht="30">
      <c r="A596" s="15" t="s">
        <v>523</v>
      </c>
      <c r="B596" s="34">
        <v>8526673</v>
      </c>
      <c r="C596" s="34"/>
      <c r="D596" s="34"/>
      <c r="E596" s="24"/>
    </row>
    <row r="597" spans="1:5">
      <c r="A597" s="15" t="s">
        <v>524</v>
      </c>
      <c r="B597" s="34">
        <v>737904</v>
      </c>
      <c r="C597" s="34"/>
      <c r="D597" s="34"/>
      <c r="E597" s="24"/>
    </row>
    <row r="598" spans="1:5" ht="30">
      <c r="A598" s="15" t="s">
        <v>525</v>
      </c>
      <c r="B598" s="34">
        <v>26746.76</v>
      </c>
      <c r="C598" s="34"/>
      <c r="D598" s="34"/>
      <c r="E598" s="24"/>
    </row>
    <row r="599" spans="1:5" ht="30">
      <c r="A599" s="15" t="s">
        <v>526</v>
      </c>
      <c r="B599" s="34">
        <v>444284</v>
      </c>
      <c r="C599" s="34"/>
      <c r="D599" s="34"/>
      <c r="E599" s="24"/>
    </row>
    <row r="600" spans="1:5">
      <c r="A600" s="11" t="s">
        <v>527</v>
      </c>
      <c r="B600" s="31">
        <v>12268590.5</v>
      </c>
      <c r="C600" s="31"/>
      <c r="D600" s="31"/>
      <c r="E600" s="32"/>
    </row>
    <row r="601" spans="1:5">
      <c r="A601" s="15" t="s">
        <v>528</v>
      </c>
      <c r="B601" s="34">
        <v>12268590.5</v>
      </c>
      <c r="C601" s="34"/>
      <c r="D601" s="34"/>
      <c r="E601" s="24"/>
    </row>
    <row r="602" spans="1:5">
      <c r="A602" s="11" t="s">
        <v>529</v>
      </c>
      <c r="B602" s="31">
        <v>4362055.33</v>
      </c>
      <c r="C602" s="31"/>
      <c r="D602" s="31">
        <f>SUM(D603:D605)</f>
        <v>4406865.33</v>
      </c>
      <c r="E602" s="32"/>
    </row>
    <row r="603" spans="1:5" ht="30">
      <c r="A603" s="15" t="s">
        <v>530</v>
      </c>
      <c r="B603" s="34">
        <v>2660009.81</v>
      </c>
      <c r="C603" s="34"/>
      <c r="D603" s="34">
        <v>2660009.81</v>
      </c>
      <c r="E603" s="24" t="s">
        <v>652</v>
      </c>
    </row>
    <row r="604" spans="1:5">
      <c r="A604" s="15" t="s">
        <v>531</v>
      </c>
      <c r="B604" s="34">
        <v>1702045.52</v>
      </c>
      <c r="C604" s="34"/>
      <c r="D604" s="34">
        <v>1702045.52</v>
      </c>
      <c r="E604" s="24" t="s">
        <v>652</v>
      </c>
    </row>
    <row r="605" spans="1:5">
      <c r="A605" s="15" t="s">
        <v>660</v>
      </c>
      <c r="B605" s="34"/>
      <c r="C605" s="34"/>
      <c r="D605" s="34">
        <v>44810</v>
      </c>
      <c r="E605" s="24"/>
    </row>
    <row r="606" spans="1:5">
      <c r="A606" s="11" t="s">
        <v>532</v>
      </c>
      <c r="B606" s="31">
        <v>1321505.25</v>
      </c>
      <c r="C606" s="31"/>
      <c r="D606" s="31"/>
      <c r="E606" s="32"/>
    </row>
    <row r="607" spans="1:5">
      <c r="A607" s="15" t="s">
        <v>694</v>
      </c>
      <c r="B607" s="34">
        <v>1321505.25</v>
      </c>
      <c r="C607" s="34"/>
      <c r="D607" s="34">
        <v>1347720.25</v>
      </c>
      <c r="E607" s="24" t="s">
        <v>695</v>
      </c>
    </row>
    <row r="608" spans="1:5">
      <c r="A608" s="14" t="s">
        <v>533</v>
      </c>
      <c r="B608" s="46">
        <f>B609+B611+B613+B615+B617+B619+B622+B624+B627+B629+B631+B633+B635+B637+B639+B641+B643+B645+B647+B649+B651+B653+B655+B657+B659+B661+B669+B671+B674+B676+B678+B680</f>
        <v>57724472.669999994</v>
      </c>
      <c r="C608" s="46">
        <f t="shared" ref="C608:D608" si="32">C609+C611+C613+C615+C617+C619+C622+C624+C627+C629+C631+C633+C635+C637+C639+C641+C643+C645+C647+C649+C651+C653+C655+C657+C659+C661+C669+C671+C674+C676+C678+C680</f>
        <v>42863344.519999996</v>
      </c>
      <c r="D608" s="46">
        <f t="shared" si="32"/>
        <v>1473795.01</v>
      </c>
      <c r="E608" s="45"/>
    </row>
    <row r="609" spans="1:5">
      <c r="A609" s="11" t="s">
        <v>534</v>
      </c>
      <c r="B609" s="31">
        <v>25600</v>
      </c>
      <c r="C609" s="31"/>
      <c r="D609" s="31"/>
      <c r="E609" s="32"/>
    </row>
    <row r="610" spans="1:5" ht="30">
      <c r="A610" s="15" t="s">
        <v>535</v>
      </c>
      <c r="B610" s="34">
        <v>25600</v>
      </c>
      <c r="C610" s="34"/>
      <c r="D610" s="34"/>
      <c r="E610" s="24"/>
    </row>
    <row r="611" spans="1:5">
      <c r="A611" s="11" t="s">
        <v>536</v>
      </c>
      <c r="B611" s="31">
        <v>9847.64</v>
      </c>
      <c r="C611" s="31"/>
      <c r="D611" s="31"/>
      <c r="E611" s="32"/>
    </row>
    <row r="612" spans="1:5" ht="30">
      <c r="A612" s="15" t="s">
        <v>537</v>
      </c>
      <c r="B612" s="34">
        <v>9847.64</v>
      </c>
      <c r="C612" s="34"/>
      <c r="D612" s="34"/>
      <c r="E612" s="24"/>
    </row>
    <row r="613" spans="1:5">
      <c r="A613" s="11" t="s">
        <v>538</v>
      </c>
      <c r="B613" s="31">
        <v>14971</v>
      </c>
      <c r="C613" s="31"/>
      <c r="D613" s="31"/>
      <c r="E613" s="32"/>
    </row>
    <row r="614" spans="1:5" ht="30">
      <c r="A614" s="15" t="s">
        <v>539</v>
      </c>
      <c r="B614" s="34">
        <v>14971</v>
      </c>
      <c r="C614" s="34"/>
      <c r="D614" s="34"/>
      <c r="E614" s="24"/>
    </row>
    <row r="615" spans="1:5">
      <c r="A615" s="11" t="s">
        <v>540</v>
      </c>
      <c r="B615" s="31">
        <v>90742.98</v>
      </c>
      <c r="C615" s="31"/>
      <c r="D615" s="31"/>
      <c r="E615" s="32"/>
    </row>
    <row r="616" spans="1:5" ht="30">
      <c r="A616" s="15" t="s">
        <v>541</v>
      </c>
      <c r="B616" s="34">
        <v>90742.98</v>
      </c>
      <c r="C616" s="34"/>
      <c r="D616" s="34"/>
      <c r="E616" s="24"/>
    </row>
    <row r="617" spans="1:5">
      <c r="A617" s="11" t="s">
        <v>542</v>
      </c>
      <c r="B617" s="31">
        <v>3540</v>
      </c>
      <c r="C617" s="31"/>
      <c r="D617" s="31"/>
      <c r="E617" s="32"/>
    </row>
    <row r="618" spans="1:5" ht="30">
      <c r="A618" s="15" t="s">
        <v>543</v>
      </c>
      <c r="B618" s="34">
        <v>3540</v>
      </c>
      <c r="C618" s="34"/>
      <c r="D618" s="34"/>
      <c r="E618" s="24"/>
    </row>
    <row r="619" spans="1:5">
      <c r="A619" s="11" t="s">
        <v>544</v>
      </c>
      <c r="B619" s="31">
        <f>SUM(B620:B621)</f>
        <v>56116014.82</v>
      </c>
      <c r="C619" s="31">
        <f>SUM(C620:C621)</f>
        <v>42788288.789999999</v>
      </c>
      <c r="D619" s="31"/>
      <c r="E619" s="32"/>
    </row>
    <row r="620" spans="1:5">
      <c r="A620" s="15" t="s">
        <v>545</v>
      </c>
      <c r="B620" s="34">
        <v>50816014.82</v>
      </c>
      <c r="C620" s="38">
        <v>42788288.789999999</v>
      </c>
      <c r="D620" s="67"/>
      <c r="E620" s="39" t="s">
        <v>629</v>
      </c>
    </row>
    <row r="621" spans="1:5">
      <c r="A621" s="15" t="s">
        <v>546</v>
      </c>
      <c r="B621" s="34">
        <v>5300000</v>
      </c>
      <c r="C621" s="34"/>
      <c r="D621" s="34"/>
      <c r="E621" s="24"/>
    </row>
    <row r="622" spans="1:5">
      <c r="A622" s="11" t="s">
        <v>547</v>
      </c>
      <c r="B622" s="31">
        <v>123181.70000000001</v>
      </c>
      <c r="C622" s="31"/>
      <c r="D622" s="31"/>
      <c r="E622" s="32"/>
    </row>
    <row r="623" spans="1:5" ht="30">
      <c r="A623" s="15" t="s">
        <v>548</v>
      </c>
      <c r="B623" s="34">
        <v>123181.70000000001</v>
      </c>
      <c r="C623" s="34"/>
      <c r="D623" s="34"/>
      <c r="E623" s="24"/>
    </row>
    <row r="624" spans="1:5">
      <c r="A624" s="11" t="s">
        <v>549</v>
      </c>
      <c r="B624" s="31">
        <v>9502.2199999999993</v>
      </c>
      <c r="C624" s="31"/>
      <c r="D624" s="31">
        <f>D625+D626</f>
        <v>5645.72</v>
      </c>
      <c r="E624" s="32"/>
    </row>
    <row r="625" spans="1:5" ht="30">
      <c r="A625" s="15" t="s">
        <v>550</v>
      </c>
      <c r="B625" s="34">
        <v>9502.2199999999993</v>
      </c>
      <c r="C625" s="34"/>
      <c r="D625" s="34"/>
      <c r="E625" s="24"/>
    </row>
    <row r="626" spans="1:5" ht="45">
      <c r="A626" s="15" t="s">
        <v>667</v>
      </c>
      <c r="B626" s="34"/>
      <c r="C626" s="34"/>
      <c r="D626" s="34">
        <v>5645.72</v>
      </c>
      <c r="E626" s="24" t="s">
        <v>668</v>
      </c>
    </row>
    <row r="627" spans="1:5">
      <c r="A627" s="11" t="s">
        <v>551</v>
      </c>
      <c r="B627" s="31">
        <v>350000</v>
      </c>
      <c r="C627" s="31"/>
      <c r="D627" s="31"/>
      <c r="E627" s="32"/>
    </row>
    <row r="628" spans="1:5">
      <c r="A628" s="15" t="s">
        <v>552</v>
      </c>
      <c r="B628" s="34">
        <v>350000</v>
      </c>
      <c r="C628" s="34"/>
      <c r="D628" s="34"/>
      <c r="E628" s="24"/>
    </row>
    <row r="629" spans="1:5">
      <c r="A629" s="11" t="s">
        <v>553</v>
      </c>
      <c r="B629" s="31">
        <v>18000</v>
      </c>
      <c r="C629" s="31"/>
      <c r="D629" s="31"/>
      <c r="E629" s="32"/>
    </row>
    <row r="630" spans="1:5">
      <c r="A630" s="15" t="s">
        <v>554</v>
      </c>
      <c r="B630" s="34">
        <v>18000</v>
      </c>
      <c r="C630" s="34"/>
      <c r="D630" s="34"/>
      <c r="E630" s="24"/>
    </row>
    <row r="631" spans="1:5">
      <c r="A631" s="11" t="s">
        <v>555</v>
      </c>
      <c r="B631" s="31">
        <v>6000</v>
      </c>
      <c r="C631" s="31"/>
      <c r="D631" s="31"/>
      <c r="E631" s="32"/>
    </row>
    <row r="632" spans="1:5" ht="30">
      <c r="A632" s="15" t="s">
        <v>556</v>
      </c>
      <c r="B632" s="34">
        <v>6000</v>
      </c>
      <c r="C632" s="34"/>
      <c r="D632" s="34"/>
      <c r="E632" s="24"/>
    </row>
    <row r="633" spans="1:5">
      <c r="A633" s="11" t="s">
        <v>557</v>
      </c>
      <c r="B633" s="31">
        <v>5600</v>
      </c>
      <c r="C633" s="31"/>
      <c r="D633" s="31"/>
      <c r="E633" s="32"/>
    </row>
    <row r="634" spans="1:5">
      <c r="A634" s="15" t="s">
        <v>558</v>
      </c>
      <c r="B634" s="34">
        <v>5600</v>
      </c>
      <c r="C634" s="34"/>
      <c r="D634" s="34"/>
      <c r="E634" s="24"/>
    </row>
    <row r="635" spans="1:5">
      <c r="A635" s="11" t="s">
        <v>573</v>
      </c>
      <c r="B635" s="31">
        <v>30000</v>
      </c>
      <c r="C635" s="31"/>
      <c r="D635" s="31"/>
      <c r="E635" s="32"/>
    </row>
    <row r="636" spans="1:5" ht="30">
      <c r="A636" s="15" t="s">
        <v>574</v>
      </c>
      <c r="B636" s="34">
        <v>30000</v>
      </c>
      <c r="C636" s="34"/>
      <c r="D636" s="34"/>
      <c r="E636" s="24"/>
    </row>
    <row r="637" spans="1:5">
      <c r="A637" s="11" t="s">
        <v>575</v>
      </c>
      <c r="B637" s="31">
        <v>19000</v>
      </c>
      <c r="C637" s="31"/>
      <c r="D637" s="31"/>
      <c r="E637" s="32"/>
    </row>
    <row r="638" spans="1:5">
      <c r="A638" s="15" t="s">
        <v>576</v>
      </c>
      <c r="B638" s="34">
        <v>19000</v>
      </c>
      <c r="C638" s="34"/>
      <c r="D638" s="34"/>
      <c r="E638" s="24"/>
    </row>
    <row r="639" spans="1:5">
      <c r="A639" s="11" t="s">
        <v>577</v>
      </c>
      <c r="B639" s="31">
        <v>21451.11</v>
      </c>
      <c r="C639" s="31"/>
      <c r="D639" s="31"/>
      <c r="E639" s="32"/>
    </row>
    <row r="640" spans="1:5">
      <c r="A640" s="15" t="s">
        <v>578</v>
      </c>
      <c r="B640" s="34">
        <v>21451.11</v>
      </c>
      <c r="C640" s="34"/>
      <c r="D640" s="34"/>
      <c r="E640" s="24"/>
    </row>
    <row r="641" spans="1:5">
      <c r="A641" s="11" t="s">
        <v>579</v>
      </c>
      <c r="B641" s="31">
        <v>22709.74</v>
      </c>
      <c r="C641" s="31"/>
      <c r="D641" s="31"/>
      <c r="E641" s="32"/>
    </row>
    <row r="642" spans="1:5" ht="30">
      <c r="A642" s="15" t="s">
        <v>580</v>
      </c>
      <c r="B642" s="34">
        <v>22709.74</v>
      </c>
      <c r="C642" s="34"/>
      <c r="D642" s="34"/>
      <c r="E642" s="24"/>
    </row>
    <row r="643" spans="1:5">
      <c r="A643" s="11" t="s">
        <v>581</v>
      </c>
      <c r="B643" s="31">
        <v>25341.68</v>
      </c>
      <c r="C643" s="31"/>
      <c r="D643" s="31"/>
      <c r="E643" s="32"/>
    </row>
    <row r="644" spans="1:5" ht="30">
      <c r="A644" s="15" t="s">
        <v>582</v>
      </c>
      <c r="B644" s="34">
        <v>25341.68</v>
      </c>
      <c r="C644" s="34"/>
      <c r="D644" s="34"/>
      <c r="E644" s="24"/>
    </row>
    <row r="645" spans="1:5">
      <c r="A645" s="11" t="s">
        <v>583</v>
      </c>
      <c r="B645" s="31">
        <v>27000</v>
      </c>
      <c r="C645" s="31"/>
      <c r="D645" s="31"/>
      <c r="E645" s="32"/>
    </row>
    <row r="646" spans="1:5" ht="30">
      <c r="A646" s="15" t="s">
        <v>584</v>
      </c>
      <c r="B646" s="34">
        <v>27000</v>
      </c>
      <c r="C646" s="34"/>
      <c r="D646" s="34"/>
      <c r="E646" s="24"/>
    </row>
    <row r="647" spans="1:5">
      <c r="A647" s="11" t="s">
        <v>585</v>
      </c>
      <c r="B647" s="31">
        <v>41160.29</v>
      </c>
      <c r="C647" s="31"/>
      <c r="D647" s="31"/>
      <c r="E647" s="32"/>
    </row>
    <row r="648" spans="1:5">
      <c r="A648" s="15" t="s">
        <v>586</v>
      </c>
      <c r="B648" s="34">
        <v>41160.29</v>
      </c>
      <c r="C648" s="34"/>
      <c r="D648" s="34"/>
      <c r="E648" s="24"/>
    </row>
    <row r="649" spans="1:5">
      <c r="A649" s="11" t="s">
        <v>587</v>
      </c>
      <c r="B649" s="31">
        <v>259500.73</v>
      </c>
      <c r="C649" s="31"/>
      <c r="D649" s="31"/>
      <c r="E649" s="32"/>
    </row>
    <row r="650" spans="1:5">
      <c r="A650" s="15" t="s">
        <v>588</v>
      </c>
      <c r="B650" s="34">
        <v>259500.73</v>
      </c>
      <c r="C650" s="34"/>
      <c r="D650" s="34"/>
      <c r="E650" s="24"/>
    </row>
    <row r="651" spans="1:5">
      <c r="A651" s="11" t="s">
        <v>589</v>
      </c>
      <c r="B651" s="31">
        <v>270908.79999999999</v>
      </c>
      <c r="C651" s="31"/>
      <c r="D651" s="31"/>
      <c r="E651" s="32"/>
    </row>
    <row r="652" spans="1:5" ht="30">
      <c r="A652" s="15" t="s">
        <v>590</v>
      </c>
      <c r="B652" s="34">
        <v>270908.79999999999</v>
      </c>
      <c r="C652" s="34"/>
      <c r="D652" s="34"/>
      <c r="E652" s="24"/>
    </row>
    <row r="653" spans="1:5">
      <c r="A653" s="11" t="s">
        <v>591</v>
      </c>
      <c r="B653" s="31">
        <v>399.96</v>
      </c>
      <c r="C653" s="31"/>
      <c r="D653" s="31"/>
      <c r="E653" s="32"/>
    </row>
    <row r="654" spans="1:5">
      <c r="A654" s="15" t="s">
        <v>592</v>
      </c>
      <c r="B654" s="34">
        <v>399.96</v>
      </c>
      <c r="C654" s="34"/>
      <c r="D654" s="34"/>
      <c r="E654" s="24"/>
    </row>
    <row r="655" spans="1:5">
      <c r="A655" s="11" t="s">
        <v>593</v>
      </c>
      <c r="B655" s="31">
        <v>234000</v>
      </c>
      <c r="C655" s="31"/>
      <c r="D655" s="31"/>
      <c r="E655" s="32"/>
    </row>
    <row r="656" spans="1:5">
      <c r="A656" s="15" t="s">
        <v>594</v>
      </c>
      <c r="B656" s="34">
        <v>234000</v>
      </c>
      <c r="C656" s="34"/>
      <c r="D656" s="34"/>
      <c r="E656" s="24"/>
    </row>
    <row r="657" spans="1:5" ht="28.5">
      <c r="A657" s="8" t="s">
        <v>630</v>
      </c>
      <c r="B657" s="34"/>
      <c r="C657" s="36">
        <v>55970</v>
      </c>
      <c r="D657" s="63">
        <f>D658</f>
        <v>73455</v>
      </c>
      <c r="E657" s="37"/>
    </row>
    <row r="658" spans="1:5" ht="30">
      <c r="A658" s="9" t="s">
        <v>663</v>
      </c>
      <c r="B658" s="34"/>
      <c r="C658" s="38">
        <v>55970</v>
      </c>
      <c r="D658" s="38">
        <f>70630+2825</f>
        <v>73455</v>
      </c>
      <c r="E658" s="39" t="s">
        <v>664</v>
      </c>
    </row>
    <row r="659" spans="1:5">
      <c r="A659" s="8" t="s">
        <v>631</v>
      </c>
      <c r="B659" s="34"/>
      <c r="C659" s="36">
        <f>C660</f>
        <v>19085.730000000003</v>
      </c>
      <c r="D659" s="36"/>
      <c r="E659" s="37"/>
    </row>
    <row r="660" spans="1:5">
      <c r="A660" s="9" t="s">
        <v>632</v>
      </c>
      <c r="B660" s="34"/>
      <c r="C660" s="38">
        <f>9600.62+9485.11</f>
        <v>19085.730000000003</v>
      </c>
      <c r="D660" s="38"/>
      <c r="E660" s="39" t="s">
        <v>633</v>
      </c>
    </row>
    <row r="661" spans="1:5">
      <c r="A661" s="58" t="s">
        <v>36</v>
      </c>
      <c r="B661" s="36">
        <f>B663</f>
        <v>0</v>
      </c>
      <c r="C661" s="36">
        <f>C663</f>
        <v>0</v>
      </c>
      <c r="D661" s="36">
        <f>SUM(D662:D668)</f>
        <v>1041768.29</v>
      </c>
      <c r="E661" s="37"/>
    </row>
    <row r="662" spans="1:5">
      <c r="A662" s="59" t="s">
        <v>658</v>
      </c>
      <c r="B662" s="36"/>
      <c r="C662" s="36"/>
      <c r="D662" s="68">
        <v>7744</v>
      </c>
      <c r="E662" s="39" t="s">
        <v>657</v>
      </c>
    </row>
    <row r="663" spans="1:5" s="64" customFormat="1">
      <c r="A663" s="59" t="s">
        <v>636</v>
      </c>
      <c r="B663" s="38"/>
      <c r="C663" s="38"/>
      <c r="D663" s="38">
        <v>2060</v>
      </c>
      <c r="E663" s="39" t="s">
        <v>637</v>
      </c>
    </row>
    <row r="664" spans="1:5" s="64" customFormat="1">
      <c r="A664" s="59" t="s">
        <v>642</v>
      </c>
      <c r="B664" s="38"/>
      <c r="C664" s="38"/>
      <c r="D664" s="38">
        <v>1000</v>
      </c>
      <c r="E664" s="39" t="s">
        <v>643</v>
      </c>
    </row>
    <row r="665" spans="1:5" s="64" customFormat="1">
      <c r="A665" s="59" t="s">
        <v>644</v>
      </c>
      <c r="B665" s="38"/>
      <c r="C665" s="38"/>
      <c r="D665" s="38">
        <v>14422</v>
      </c>
      <c r="E665" s="39" t="s">
        <v>645</v>
      </c>
    </row>
    <row r="666" spans="1:5" s="64" customFormat="1">
      <c r="A666" s="59" t="s">
        <v>648</v>
      </c>
      <c r="B666" s="38"/>
      <c r="C666" s="38"/>
      <c r="D666" s="38">
        <v>2000</v>
      </c>
      <c r="E666" s="39" t="s">
        <v>647</v>
      </c>
    </row>
    <row r="667" spans="1:5" s="64" customFormat="1">
      <c r="A667" s="59" t="s">
        <v>649</v>
      </c>
      <c r="B667" s="38"/>
      <c r="C667" s="38"/>
      <c r="D667" s="38">
        <v>2000</v>
      </c>
      <c r="E667" s="39" t="s">
        <v>650</v>
      </c>
    </row>
    <row r="668" spans="1:5" s="64" customFormat="1" ht="30">
      <c r="A668" s="59" t="s">
        <v>697</v>
      </c>
      <c r="B668" s="38"/>
      <c r="C668" s="38"/>
      <c r="D668" s="38">
        <f>989747.29+22795</f>
        <v>1012542.29</v>
      </c>
      <c r="E668" s="39" t="s">
        <v>698</v>
      </c>
    </row>
    <row r="669" spans="1:5">
      <c r="A669" s="56" t="s">
        <v>48</v>
      </c>
      <c r="B669" s="31">
        <f>B670</f>
        <v>0</v>
      </c>
      <c r="C669" s="31">
        <f t="shared" ref="C669:D669" si="33">C670</f>
        <v>0</v>
      </c>
      <c r="D669" s="31">
        <f t="shared" si="33"/>
        <v>25810</v>
      </c>
      <c r="E669" s="32"/>
    </row>
    <row r="670" spans="1:5" ht="20.25" customHeight="1">
      <c r="A670" s="57" t="s">
        <v>639</v>
      </c>
      <c r="B670" s="33"/>
      <c r="C670" s="33"/>
      <c r="D670" s="33">
        <v>25810</v>
      </c>
      <c r="E670" s="24" t="s">
        <v>640</v>
      </c>
    </row>
    <row r="671" spans="1:5">
      <c r="A671" s="58" t="s">
        <v>26</v>
      </c>
      <c r="B671" s="36">
        <f t="shared" ref="B671:C671" si="34">SUM(B672:B673)</f>
        <v>0</v>
      </c>
      <c r="C671" s="36">
        <f t="shared" si="34"/>
        <v>0</v>
      </c>
      <c r="D671" s="36">
        <f>SUM(D672:D673)</f>
        <v>23572</v>
      </c>
      <c r="E671" s="37"/>
    </row>
    <row r="672" spans="1:5">
      <c r="A672" s="57" t="s">
        <v>670</v>
      </c>
      <c r="B672" s="38"/>
      <c r="C672" s="38"/>
      <c r="D672" s="38">
        <v>1000</v>
      </c>
      <c r="E672" s="24" t="s">
        <v>671</v>
      </c>
    </row>
    <row r="673" spans="1:5">
      <c r="A673" s="57" t="s">
        <v>677</v>
      </c>
      <c r="B673" s="38"/>
      <c r="C673" s="38"/>
      <c r="D673" s="38">
        <v>22572</v>
      </c>
      <c r="E673" s="24" t="s">
        <v>676</v>
      </c>
    </row>
    <row r="674" spans="1:5" ht="28.5">
      <c r="A674" s="58" t="s">
        <v>699</v>
      </c>
      <c r="B674" s="36">
        <f>B675</f>
        <v>0</v>
      </c>
      <c r="C674" s="36">
        <f t="shared" ref="C674:D674" si="35">C675</f>
        <v>0</v>
      </c>
      <c r="D674" s="36">
        <f t="shared" si="35"/>
        <v>55000</v>
      </c>
      <c r="E674" s="37"/>
    </row>
    <row r="675" spans="1:5" ht="30">
      <c r="A675" s="57" t="s">
        <v>700</v>
      </c>
      <c r="B675" s="38"/>
      <c r="C675" s="38"/>
      <c r="D675" s="38">
        <v>55000</v>
      </c>
      <c r="E675" s="24" t="s">
        <v>701</v>
      </c>
    </row>
    <row r="676" spans="1:5">
      <c r="A676" s="56" t="s">
        <v>45</v>
      </c>
      <c r="B676" s="31">
        <f>B677</f>
        <v>0</v>
      </c>
      <c r="C676" s="31">
        <f t="shared" ref="C676:D676" si="36">C677</f>
        <v>0</v>
      </c>
      <c r="D676" s="31">
        <f t="shared" si="36"/>
        <v>18544</v>
      </c>
      <c r="E676" s="32"/>
    </row>
    <row r="677" spans="1:5">
      <c r="A677" s="57" t="s">
        <v>660</v>
      </c>
      <c r="B677" s="34">
        <v>0</v>
      </c>
      <c r="C677" s="34"/>
      <c r="D677" s="34">
        <v>18544</v>
      </c>
      <c r="E677" s="24" t="s">
        <v>600</v>
      </c>
    </row>
    <row r="678" spans="1:5">
      <c r="A678" s="56" t="s">
        <v>704</v>
      </c>
      <c r="B678" s="31">
        <f>B679</f>
        <v>0</v>
      </c>
      <c r="C678" s="31">
        <f t="shared" ref="C678:C680" si="37">C679</f>
        <v>0</v>
      </c>
      <c r="D678" s="31">
        <f t="shared" ref="D678:D680" si="38">D679</f>
        <v>200000</v>
      </c>
      <c r="E678" s="32"/>
    </row>
    <row r="679" spans="1:5">
      <c r="A679" s="57" t="s">
        <v>705</v>
      </c>
      <c r="B679" s="34">
        <v>0</v>
      </c>
      <c r="C679" s="34"/>
      <c r="D679" s="34">
        <v>200000</v>
      </c>
      <c r="E679" s="24"/>
    </row>
    <row r="680" spans="1:5">
      <c r="A680" s="56" t="s">
        <v>717</v>
      </c>
      <c r="B680" s="31">
        <f>B681</f>
        <v>0</v>
      </c>
      <c r="C680" s="31">
        <f t="shared" si="37"/>
        <v>0</v>
      </c>
      <c r="D680" s="31">
        <f t="shared" si="38"/>
        <v>30000</v>
      </c>
      <c r="E680" s="32"/>
    </row>
    <row r="681" spans="1:5" ht="60">
      <c r="A681" s="57" t="s">
        <v>705</v>
      </c>
      <c r="B681" s="34">
        <v>0</v>
      </c>
      <c r="C681" s="34"/>
      <c r="D681" s="34">
        <v>30000</v>
      </c>
      <c r="E681" s="24" t="s">
        <v>718</v>
      </c>
    </row>
    <row r="682" spans="1:5" ht="28.5">
      <c r="A682" s="14" t="s">
        <v>763</v>
      </c>
      <c r="B682" s="46">
        <f>SUM(B683:B691)</f>
        <v>101161078.00999999</v>
      </c>
      <c r="C682" s="46">
        <f>SUM(C683:C691)</f>
        <v>0</v>
      </c>
      <c r="D682" s="46">
        <f>SUM(D683:D691)</f>
        <v>0</v>
      </c>
      <c r="E682" s="45"/>
    </row>
    <row r="683" spans="1:5">
      <c r="A683" s="15" t="s">
        <v>559</v>
      </c>
      <c r="B683" s="34">
        <v>54603441.719999999</v>
      </c>
      <c r="C683" s="34"/>
      <c r="D683" s="34"/>
      <c r="E683" s="24"/>
    </row>
    <row r="684" spans="1:5">
      <c r="A684" s="15" t="s">
        <v>560</v>
      </c>
      <c r="B684" s="34">
        <v>5480850.2599999998</v>
      </c>
      <c r="C684" s="34"/>
      <c r="D684" s="34"/>
      <c r="E684" s="24"/>
    </row>
    <row r="685" spans="1:5">
      <c r="A685" s="15" t="s">
        <v>561</v>
      </c>
      <c r="B685" s="34">
        <v>8101218.5999999996</v>
      </c>
      <c r="C685" s="34"/>
      <c r="D685" s="34"/>
      <c r="E685" s="24"/>
    </row>
    <row r="686" spans="1:5">
      <c r="A686" s="15" t="s">
        <v>562</v>
      </c>
      <c r="B686" s="34">
        <v>2564.9999999999995</v>
      </c>
      <c r="C686" s="34"/>
      <c r="D686" s="34"/>
      <c r="E686" s="24"/>
    </row>
    <row r="687" spans="1:5">
      <c r="A687" s="15" t="s">
        <v>563</v>
      </c>
      <c r="B687" s="34">
        <v>33825.379999999997</v>
      </c>
      <c r="C687" s="34"/>
      <c r="D687" s="34"/>
      <c r="E687" s="24"/>
    </row>
    <row r="688" spans="1:5">
      <c r="A688" s="15" t="s">
        <v>564</v>
      </c>
      <c r="B688" s="34">
        <v>1964872.47</v>
      </c>
      <c r="C688" s="34"/>
      <c r="D688" s="34"/>
      <c r="E688" s="24"/>
    </row>
    <row r="689" spans="1:5">
      <c r="A689" s="15" t="s">
        <v>570</v>
      </c>
      <c r="B689" s="34">
        <v>24473769.689999998</v>
      </c>
      <c r="C689" s="34"/>
      <c r="D689" s="34"/>
      <c r="E689" s="24"/>
    </row>
    <row r="690" spans="1:5" ht="30">
      <c r="A690" s="15" t="s">
        <v>571</v>
      </c>
      <c r="B690" s="34">
        <v>1476633.06</v>
      </c>
      <c r="C690" s="34"/>
      <c r="D690" s="34"/>
      <c r="E690" s="24"/>
    </row>
    <row r="691" spans="1:5" ht="30">
      <c r="A691" s="15" t="s">
        <v>572</v>
      </c>
      <c r="B691" s="34">
        <v>5023901.8299999991</v>
      </c>
      <c r="C691" s="34"/>
      <c r="D691" s="34"/>
      <c r="E691" s="24"/>
    </row>
    <row r="692" spans="1:5">
      <c r="A692" s="14" t="s">
        <v>661</v>
      </c>
      <c r="B692" s="46">
        <f>SUM(B693:B697)</f>
        <v>268033</v>
      </c>
      <c r="C692" s="46">
        <f t="shared" ref="C692:D692" si="39">SUM(C693:C697)</f>
        <v>0</v>
      </c>
      <c r="D692" s="46">
        <f t="shared" si="39"/>
        <v>0</v>
      </c>
      <c r="E692" s="45"/>
    </row>
    <row r="693" spans="1:5">
      <c r="A693" s="15" t="s">
        <v>662</v>
      </c>
      <c r="B693" s="34">
        <v>29206</v>
      </c>
      <c r="C693" s="34"/>
      <c r="D693" s="34"/>
      <c r="E693" s="24"/>
    </row>
    <row r="694" spans="1:5">
      <c r="A694" s="15" t="s">
        <v>673</v>
      </c>
      <c r="B694" s="34">
        <v>49400</v>
      </c>
      <c r="C694" s="34"/>
      <c r="D694" s="34"/>
      <c r="E694" s="24"/>
    </row>
    <row r="695" spans="1:5">
      <c r="A695" s="15" t="s">
        <v>674</v>
      </c>
      <c r="B695" s="34">
        <v>33154</v>
      </c>
      <c r="C695" s="34"/>
      <c r="D695" s="34"/>
      <c r="E695" s="24"/>
    </row>
    <row r="696" spans="1:5" ht="30">
      <c r="A696" s="15" t="s">
        <v>693</v>
      </c>
      <c r="B696" s="34">
        <v>3000</v>
      </c>
      <c r="C696" s="34"/>
      <c r="D696" s="34"/>
      <c r="E696" s="24"/>
    </row>
    <row r="697" spans="1:5">
      <c r="A697" s="15" t="s">
        <v>696</v>
      </c>
      <c r="B697" s="34">
        <v>153273</v>
      </c>
      <c r="C697" s="34"/>
      <c r="D697" s="34"/>
      <c r="E697" s="24"/>
    </row>
    <row r="698" spans="1:5">
      <c r="A698" s="14" t="s">
        <v>755</v>
      </c>
      <c r="B698" s="46">
        <f>SUM(B699:B703)</f>
        <v>783750</v>
      </c>
      <c r="C698" s="46">
        <f t="shared" ref="C698:D698" si="40">SUM(C699:C703)</f>
        <v>0</v>
      </c>
      <c r="D698" s="46">
        <f t="shared" si="40"/>
        <v>0</v>
      </c>
      <c r="E698" s="45"/>
    </row>
    <row r="699" spans="1:5" ht="30">
      <c r="A699" s="15" t="s">
        <v>756</v>
      </c>
      <c r="B699" s="34">
        <f>261250*3</f>
        <v>783750</v>
      </c>
      <c r="C699" s="34"/>
      <c r="D699" s="34"/>
      <c r="E699" s="24"/>
    </row>
    <row r="702" spans="1:5">
      <c r="A702" s="82" t="s">
        <v>770</v>
      </c>
      <c r="B702" s="83"/>
      <c r="C702" s="84" t="s">
        <v>771</v>
      </c>
      <c r="D702" s="84"/>
      <c r="E702" s="81"/>
    </row>
    <row r="703" spans="1:5">
      <c r="B703" s="81"/>
      <c r="C703" s="80"/>
      <c r="D703" s="80"/>
      <c r="E703" s="81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7"/>
  <sheetViews>
    <sheetView workbookViewId="0">
      <selection activeCell="B8" sqref="B8"/>
    </sheetView>
  </sheetViews>
  <sheetFormatPr defaultRowHeight="15"/>
  <cols>
    <col min="1" max="1" width="32.7109375" customWidth="1"/>
    <col min="2" max="2" width="17.28515625" bestFit="1" customWidth="1"/>
    <col min="3" max="3" width="17.42578125" customWidth="1"/>
    <col min="4" max="4" width="15.42578125" bestFit="1" customWidth="1"/>
  </cols>
  <sheetData>
    <row r="1" spans="1:4" s="64" customFormat="1" ht="85.5">
      <c r="A1" s="78" t="s">
        <v>706</v>
      </c>
      <c r="B1" s="4" t="s">
        <v>726</v>
      </c>
      <c r="C1" s="44" t="s">
        <v>595</v>
      </c>
      <c r="D1" s="44" t="s">
        <v>596</v>
      </c>
    </row>
    <row r="2" spans="1:4" ht="15.75">
      <c r="A2" s="70" t="s">
        <v>707</v>
      </c>
      <c r="B2" s="73">
        <f>реестр!B11</f>
        <v>82500.36</v>
      </c>
      <c r="C2" s="73">
        <f>реестр!C11</f>
        <v>82500.36</v>
      </c>
      <c r="D2" s="73">
        <f>реестр!D11</f>
        <v>60000</v>
      </c>
    </row>
    <row r="3" spans="1:4" ht="15.75">
      <c r="A3" s="70" t="s">
        <v>708</v>
      </c>
      <c r="B3" s="71">
        <f>реестр!B22</f>
        <v>111616404.98000005</v>
      </c>
      <c r="C3" s="71">
        <f>реестр!C22</f>
        <v>0</v>
      </c>
      <c r="D3" s="71">
        <f>реестр!D22</f>
        <v>0</v>
      </c>
    </row>
    <row r="4" spans="1:4" ht="15.75">
      <c r="A4" s="70" t="s">
        <v>709</v>
      </c>
      <c r="B4" s="71">
        <f>реестр!B36</f>
        <v>8121702</v>
      </c>
      <c r="C4" s="71">
        <f>реестр!C36</f>
        <v>0</v>
      </c>
      <c r="D4" s="71">
        <f>реестр!D36</f>
        <v>0</v>
      </c>
    </row>
    <row r="5" spans="1:4" ht="15.75">
      <c r="A5" s="70" t="s">
        <v>710</v>
      </c>
      <c r="B5" s="71">
        <f>реестр!B55</f>
        <v>5915678.0899999999</v>
      </c>
      <c r="C5" s="71">
        <f>реестр!C55</f>
        <v>1533968.29</v>
      </c>
      <c r="D5" s="71">
        <f>реестр!D55</f>
        <v>4024220.1700000004</v>
      </c>
    </row>
    <row r="6" spans="1:4" ht="15.75">
      <c r="A6" s="70" t="s">
        <v>764</v>
      </c>
      <c r="B6" s="71">
        <f>реестр!B113</f>
        <v>984861792.65999997</v>
      </c>
      <c r="C6" s="71">
        <f>реестр!C113</f>
        <v>314769735.40999997</v>
      </c>
      <c r="D6" s="71">
        <f>реестр!D113</f>
        <v>163756976.99999997</v>
      </c>
    </row>
    <row r="7" spans="1:4" ht="15.75">
      <c r="A7" s="70" t="s">
        <v>711</v>
      </c>
      <c r="B7" s="72">
        <f>SUM(B2:B6)</f>
        <v>1110598078.0899999</v>
      </c>
      <c r="C7" s="72">
        <f t="shared" ref="C7:D7" si="0">SUM(C2:C6)</f>
        <v>316386204.05999994</v>
      </c>
      <c r="D7" s="72">
        <f t="shared" si="0"/>
        <v>167841197.16999996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</vt:lpstr>
      <vt:lpstr>СВОД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2017-09-22T00:05:58Z</dcterms:modified>
</cp:coreProperties>
</file>